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EDF958C1-2BD5-4F49-99EF-A6B09DCE2D47}" xr6:coauthVersionLast="47" xr6:coauthVersionMax="47" xr10:uidLastSave="{00000000-0000-0000-0000-000000000000}"/>
  <bookViews>
    <workbookView xWindow="-120" yWindow="-120" windowWidth="20730" windowHeight="11160" tabRatio="599" firstSheet="4" activeTab="13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  <sheet name="Impresión" sheetId="17" state="hidden" r:id="rId16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_xlnm.Print_Area" localSheetId="15">Impresión!$A$1:$R$48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9" l="1"/>
  <c r="E15" i="19"/>
  <c r="D15" i="19"/>
  <c r="C15" i="19"/>
  <c r="B15" i="19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4" i="14"/>
  <c r="N13" i="14"/>
  <c r="N12" i="14"/>
  <c r="N11" i="14"/>
  <c r="N10" i="14"/>
  <c r="N9" i="14"/>
  <c r="N8" i="14"/>
  <c r="N7" i="14"/>
  <c r="N6" i="14"/>
  <c r="N5" i="14"/>
  <c r="AV3" i="19"/>
  <c r="G2" i="17" s="1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Q1" i="19" l="1"/>
  <c r="B16" i="15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<sst xmlns="http://schemas.openxmlformats.org/spreadsheetml/2006/main" count="673" uniqueCount="64">
  <si>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</si>
  <si>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</si>
  <si>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</si>
  <si>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</si>
  <si>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</si>
  <si>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</si>
  <si>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</si>
  <si>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</si>
  <si>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</si>
  <si>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</si>
  <si>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</si>
  <si>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</si>
  <si>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</si>
  <si>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</si>
  <si>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</si>
  <si>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</si>
  <si>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</si>
  <si>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</si>
  <si>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</si>
  <si>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</si>
  <si>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</si>
  <si>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</si>
  <si>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</si>
  <si>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</si>
  <si>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</si>
  <si>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</si>
  <si>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</si>
  <si>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</si>
  <si>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</si>
  <si>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</si>
  <si>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</si>
  <si>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</si>
  <si>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</si>
  <si>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</si>
  <si>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</si>
  <si>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</si>
  <si>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</si>
  <si>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</si>
  <si>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</si>
  <si>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</si>
  <si>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</si>
  <si>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</si>
  <si>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</si>
  <si>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</si>
  <si>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</si>
  <si>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</si>
  <si>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</si>
  <si>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</si>
  <si>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</si>
  <si>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</si>
  <si>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</si>
  <si>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</si>
  <si>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</si>
  <si>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</si>
  <si>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</si>
  <si>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</si>
  <si>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</si>
  <si>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</si>
  <si>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</si>
  <si>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</si>
  <si>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</si>
  <si>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</si>
  <si>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</si>
  <si>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13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</si>
</sst>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5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19" fillId="0" borderId="0" xfId="0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178.72899999999998</c:v>
                </c:pt>
                <c:pt idx="1">
                  <c:v>231.23899999999867</c:v>
                </c:pt>
                <c:pt idx="2">
                  <c:v>123.14199999999997</c:v>
                </c:pt>
                <c:pt idx="3">
                  <c:v>178.24900000000071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ABRIL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6291.4139999999998</c:v>
                </c:pt>
                <c:pt idx="1">
                  <c:v>5487.43</c:v>
                </c:pt>
                <c:pt idx="2">
                  <c:v>5268.62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ABRIL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48.972000000000662</c:v>
                </c:pt>
                <c:pt idx="1">
                  <c:v>810.17700000000002</c:v>
                </c:pt>
                <c:pt idx="2">
                  <c:v>88.158000000000015</c:v>
                </c:pt>
                <c:pt idx="3">
                  <c:v>45.326999999999998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ABRIL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170.124</c:v>
                </c:pt>
                <c:pt idx="1">
                  <c:v>0</c:v>
                </c:pt>
                <c:pt idx="2">
                  <c:v>82.632000000000005</c:v>
                </c:pt>
                <c:pt idx="3">
                  <c:v>8.0939999999999941</c:v>
                </c:pt>
                <c:pt idx="4">
                  <c:v>152.62799999999999</c:v>
                </c:pt>
                <c:pt idx="5">
                  <c:v>0</c:v>
                </c:pt>
                <c:pt idx="6">
                  <c:v>102.251</c:v>
                </c:pt>
                <c:pt idx="7">
                  <c:v>8.7070000000000007</c:v>
                </c:pt>
                <c:pt idx="8">
                  <c:v>0</c:v>
                </c:pt>
                <c:pt idx="9">
                  <c:v>724.36799999999994</c:v>
                </c:pt>
                <c:pt idx="10">
                  <c:v>0</c:v>
                </c:pt>
                <c:pt idx="11">
                  <c:v>0</c:v>
                </c:pt>
                <c:pt idx="12">
                  <c:v>40.491</c:v>
                </c:pt>
                <c:pt idx="13">
                  <c:v>0</c:v>
                </c:pt>
                <c:pt idx="14">
                  <c:v>767.08299999999997</c:v>
                </c:pt>
                <c:pt idx="15">
                  <c:v>0</c:v>
                </c:pt>
                <c:pt idx="16">
                  <c:v>271.846</c:v>
                </c:pt>
                <c:pt idx="17">
                  <c:v>27.341000000000001</c:v>
                </c:pt>
                <c:pt idx="18">
                  <c:v>6.8419999999999996</c:v>
                </c:pt>
                <c:pt idx="19">
                  <c:v>54.295999999999999</c:v>
                </c:pt>
                <c:pt idx="20">
                  <c:v>0</c:v>
                </c:pt>
                <c:pt idx="21">
                  <c:v>1751.6610000000001</c:v>
                </c:pt>
                <c:pt idx="22">
                  <c:v>22.597000000000001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432.93200000000002</c:v>
                </c:pt>
                <c:pt idx="28">
                  <c:v>24.268999999999998</c:v>
                </c:pt>
                <c:pt idx="29">
                  <c:v>177.46</c:v>
                </c:pt>
                <c:pt idx="30">
                  <c:v>10.641999999999999</c:v>
                </c:pt>
                <c:pt idx="31">
                  <c:v>6.58</c:v>
                </c:pt>
                <c:pt idx="32">
                  <c:v>247.52699999999999</c:v>
                </c:pt>
                <c:pt idx="33">
                  <c:v>178.24900000000071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5627.2970000000005</c:v>
                </c:pt>
                <c:pt idx="1">
                  <c:v>5219.4040000000005</c:v>
                </c:pt>
                <c:pt idx="2">
                  <c:v>5229.4089999999997</c:v>
                </c:pt>
                <c:pt idx="3">
                  <c:v>5268.62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-8.9480000000003201</c:v>
                </c:pt>
                <c:pt idx="2">
                  <c:v>-95.347999999999956</c:v>
                </c:pt>
                <c:pt idx="3">
                  <c:v>48.972000000000662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810.17700000000002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170.74199999999996</c:v>
                </c:pt>
                <c:pt idx="1">
                  <c:v>12.411000000000001</c:v>
                </c:pt>
                <c:pt idx="2">
                  <c:v>-72.739000000000033</c:v>
                </c:pt>
                <c:pt idx="3">
                  <c:v>88.158000000000015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59.488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45.326999999999998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ABRIL 2024</c:v>
            </c:pt>
          </c:strCache>
        </c:strRef>
      </c:tx>
      <c:layout>
        <c:manualLayout>
          <c:xMode val="edge"/>
          <c:yMode val="edge"/>
          <c:x val="0.4151123953286085"/>
          <c:y val="2.93333315735534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6291.4139999999998</c:v>
                </c:pt>
                <c:pt idx="1">
                  <c:v>5487.43</c:v>
                </c:pt>
                <c:pt idx="2">
                  <c:v>5268.62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F-4A6D-8908-A288F82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ABRIL 2024</c:v>
            </c:pt>
          </c:strCache>
        </c:strRef>
      </c:tx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C9-4766-97D6-48B08579E0D5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9-4766-97D6-48B08579E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48.972000000000662</c:v>
                </c:pt>
                <c:pt idx="1">
                  <c:v>810.17700000000002</c:v>
                </c:pt>
                <c:pt idx="2">
                  <c:v>88.158000000000015</c:v>
                </c:pt>
                <c:pt idx="3">
                  <c:v>45.326999999999998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766-97D6-48B08579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ABRIL 2024</c:v>
            </c:pt>
          </c:strCache>
        </c:strRef>
      </c:tx>
      <c:layout>
        <c:manualLayout>
          <c:xMode val="edge"/>
          <c:yMode val="edge"/>
          <c:x val="0.61518858948305954"/>
          <c:y val="2.901333114019964E-2"/>
        </c:manualLayout>
      </c:layout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170.124</c:v>
                </c:pt>
                <c:pt idx="1">
                  <c:v>0</c:v>
                </c:pt>
                <c:pt idx="2">
                  <c:v>82.632000000000005</c:v>
                </c:pt>
                <c:pt idx="3">
                  <c:v>8.0939999999999941</c:v>
                </c:pt>
                <c:pt idx="4">
                  <c:v>152.62799999999999</c:v>
                </c:pt>
                <c:pt idx="5">
                  <c:v>0</c:v>
                </c:pt>
                <c:pt idx="6">
                  <c:v>102.251</c:v>
                </c:pt>
                <c:pt idx="7">
                  <c:v>8.7070000000000007</c:v>
                </c:pt>
                <c:pt idx="8">
                  <c:v>0</c:v>
                </c:pt>
                <c:pt idx="9">
                  <c:v>724.36799999999994</c:v>
                </c:pt>
                <c:pt idx="10">
                  <c:v>0</c:v>
                </c:pt>
                <c:pt idx="11">
                  <c:v>0</c:v>
                </c:pt>
                <c:pt idx="12">
                  <c:v>40.491</c:v>
                </c:pt>
                <c:pt idx="13">
                  <c:v>0</c:v>
                </c:pt>
                <c:pt idx="14">
                  <c:v>767.08299999999997</c:v>
                </c:pt>
                <c:pt idx="15">
                  <c:v>0</c:v>
                </c:pt>
                <c:pt idx="16">
                  <c:v>271.846</c:v>
                </c:pt>
                <c:pt idx="17">
                  <c:v>27.341000000000001</c:v>
                </c:pt>
                <c:pt idx="18">
                  <c:v>6.8419999999999996</c:v>
                </c:pt>
                <c:pt idx="19">
                  <c:v>54.295999999999999</c:v>
                </c:pt>
                <c:pt idx="20">
                  <c:v>0</c:v>
                </c:pt>
                <c:pt idx="21">
                  <c:v>1751.6610000000001</c:v>
                </c:pt>
                <c:pt idx="22">
                  <c:v>22.597000000000001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432.93200000000002</c:v>
                </c:pt>
                <c:pt idx="28">
                  <c:v>24.268999999999998</c:v>
                </c:pt>
                <c:pt idx="29">
                  <c:v>177.46</c:v>
                </c:pt>
                <c:pt idx="30">
                  <c:v>10.641999999999999</c:v>
                </c:pt>
                <c:pt idx="31">
                  <c:v>6.58</c:v>
                </c:pt>
                <c:pt idx="32">
                  <c:v>247.52699999999999</c:v>
                </c:pt>
                <c:pt idx="33">
                  <c:v>178.24900000000071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2E-9393-D2E75BCBB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kt</a:t>
                </a:r>
              </a:p>
            </c:rich>
          </c:tx>
          <c:overlay val="0"/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103.84400000000005</c:v>
                </c:pt>
                <c:pt idx="1">
                  <c:v>263.03199999999924</c:v>
                </c:pt>
                <c:pt idx="2">
                  <c:v>95.601000000001477</c:v>
                </c:pt>
                <c:pt idx="3">
                  <c:v>218.8100000000004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5481.2889999999998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5731.1409999999996</c:v>
                </c:pt>
                <c:pt idx="1">
                  <c:v>5482.4359999999997</c:v>
                </c:pt>
                <c:pt idx="2">
                  <c:v>5325.0100000000011</c:v>
                </c:pt>
                <c:pt idx="3">
                  <c:v>5487.43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254.19</c:v>
                </c:pt>
                <c:pt idx="1">
                  <c:v>218.411</c:v>
                </c:pt>
                <c:pt idx="2">
                  <c:v>292.517</c:v>
                </c:pt>
                <c:pt idx="3">
                  <c:v>271.846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1785.873</c:v>
                </c:pt>
                <c:pt idx="2">
                  <c:v>1766.7179999999998</c:v>
                </c:pt>
                <c:pt idx="3">
                  <c:v>1751.6610000000001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600075</xdr:colOff>
      <xdr:row>0</xdr:row>
      <xdr:rowOff>104771</xdr:rowOff>
    </xdr:from>
    <xdr:ext cx="2447921" cy="1466854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466854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rtl="0" fontAlgn="auto" hangingPunct="1"/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57150</xdr:colOff>
      <xdr:row>1</xdr:row>
      <xdr:rowOff>47621</xdr:rowOff>
    </xdr:from>
    <xdr:to>
      <xdr:col>4</xdr:col>
      <xdr:colOff>278130</xdr:colOff>
      <xdr:row>5</xdr:row>
      <xdr:rowOff>156841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E348F5-531E-6E8B-40CC-C6562913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596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51955</xdr:colOff>
      <xdr:row>7</xdr:row>
      <xdr:rowOff>0</xdr:rowOff>
    </xdr:from>
    <xdr:ext cx="5957454" cy="3030682"/>
    <xdr:graphicFrame macro="">
      <xdr:nvGraphicFramePr>
        <xdr:cNvPr id="5" name="Gráfico 19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51956</xdr:colOff>
      <xdr:row>24</xdr:row>
      <xdr:rowOff>86590</xdr:rowOff>
    </xdr:from>
    <xdr:ext cx="5962402" cy="3936321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8</xdr:col>
      <xdr:colOff>242455</xdr:colOff>
      <xdr:row>7</xdr:row>
      <xdr:rowOff>11205</xdr:rowOff>
    </xdr:from>
    <xdr:ext cx="7958132" cy="7093324"/>
    <xdr:graphicFrame macro="">
      <xdr:nvGraphicFramePr>
        <xdr:cNvPr id="7" name="Gráfico 2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workbookViewId="0">
      <selection activeCell="K9" sqref="K9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1" t="s">
        <v>59</v>
      </c>
      <c r="C13" s="91"/>
      <c r="D13" s="91"/>
      <c r="E13" s="91"/>
      <c r="F13" s="91"/>
      <c r="G13" s="91"/>
      <c r="H13" s="91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1"/>
      <c r="C14" s="91"/>
      <c r="D14" s="91"/>
      <c r="E14" s="91"/>
      <c r="F14" s="91"/>
      <c r="G14" s="91"/>
      <c r="H14" s="91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2" t="str">
        <f>'2024'!AV3</f>
        <v>ABRIL 2024</v>
      </c>
      <c r="C16" s="92"/>
      <c r="D16" s="92"/>
      <c r="E16" s="92"/>
      <c r="F16" s="92"/>
      <c r="G16" s="92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2"/>
      <c r="C17" s="92"/>
      <c r="D17" s="92"/>
      <c r="E17" s="92"/>
      <c r="F17" s="92"/>
      <c r="G17" s="92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2"/>
      <c r="C18" s="92"/>
      <c r="D18" s="92"/>
      <c r="E18" s="92"/>
      <c r="F18" s="92"/>
      <c r="G18" s="92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3" t="s">
        <v>63</v>
      </c>
      <c r="B34" s="93"/>
      <c r="C34" s="93"/>
      <c r="D34" s="93"/>
      <c r="E34" s="93"/>
      <c r="F34" s="93"/>
      <c r="G34" s="93"/>
      <c r="H34" s="93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J58" sqref="J58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N5" sqref="N5:N49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2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3"/>
      <c r="AS4" s="83"/>
      <c r="AT4" s="83"/>
      <c r="AU4" s="83"/>
      <c r="AV4" s="83"/>
      <c r="AW4" s="83"/>
      <c r="AX4" s="83"/>
      <c r="AY4" s="83"/>
      <c r="AZ4" s="83"/>
      <c r="BA4" s="83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4"/>
      <c r="AV6" s="85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4"/>
      <c r="AV7" s="85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4"/>
      <c r="AV8" s="85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5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5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4"/>
      <c r="AV11" s="85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6"/>
      <c r="AS12" s="86"/>
      <c r="AT12" s="86"/>
      <c r="AU12" s="84"/>
      <c r="AV12" s="87"/>
      <c r="AW12" s="86"/>
      <c r="AX12" s="86"/>
      <c r="AY12" s="86"/>
      <c r="AZ12" s="86"/>
      <c r="BA12" s="86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4"/>
      <c r="AV13" s="85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4"/>
      <c r="AV14" s="85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4"/>
      <c r="AV15" s="85"/>
    </row>
    <row r="16" spans="1:53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8"/>
      <c r="AV17" s="89"/>
      <c r="AW17" s="89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8"/>
      <c r="AV18" s="89"/>
      <c r="AW18" s="89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8"/>
      <c r="AV19" s="89"/>
      <c r="AW19" s="89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8"/>
      <c r="AV20" s="89"/>
      <c r="AW20" s="89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8"/>
      <c r="AV21" s="89"/>
      <c r="AW21" s="89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8"/>
      <c r="AV22" s="89"/>
      <c r="AW22" s="89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8"/>
      <c r="AV23" s="89"/>
      <c r="AW23" s="89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8"/>
      <c r="AV24" s="89"/>
      <c r="AW24" s="89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8"/>
      <c r="AV25" s="89"/>
      <c r="AW25" s="89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8"/>
      <c r="AV26" s="89"/>
      <c r="AW26" s="89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8"/>
      <c r="AV27" s="89"/>
      <c r="AW27" s="89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8"/>
      <c r="AV28" s="89"/>
      <c r="AW28" s="89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8"/>
      <c r="AV29" s="89"/>
      <c r="AW29" s="89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8"/>
      <c r="AV30" s="89"/>
      <c r="AW30" s="89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8"/>
      <c r="AV31" s="89"/>
      <c r="AW31" s="89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8"/>
      <c r="AV32" s="89"/>
      <c r="AW32" s="89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8"/>
      <c r="AV33" s="89"/>
      <c r="AW33" s="89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8"/>
      <c r="AV34" s="89"/>
      <c r="AW34" s="89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8"/>
      <c r="AV35" s="89"/>
      <c r="AW35" s="89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8"/>
      <c r="AV36" s="89"/>
      <c r="AW36" s="89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8"/>
      <c r="AV37" s="89"/>
      <c r="AW37" s="89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8"/>
      <c r="AV38" s="89"/>
      <c r="AW38" s="89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8"/>
      <c r="AV39" s="89"/>
      <c r="AW39" s="89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8"/>
      <c r="AV40" s="89"/>
      <c r="AW40" s="89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8"/>
      <c r="AV41" s="89"/>
      <c r="AW41" s="89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8"/>
      <c r="AV42" s="89"/>
      <c r="AW42" s="89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8"/>
      <c r="AV43" s="89"/>
      <c r="AW43" s="89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8"/>
      <c r="AV44" s="89"/>
      <c r="AW44" s="89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8"/>
      <c r="AV45" s="89"/>
      <c r="AW45" s="89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8"/>
      <c r="AV46" s="89"/>
      <c r="AW46" s="89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8"/>
      <c r="AV47" s="89"/>
      <c r="AW47" s="89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8"/>
      <c r="AV48" s="89"/>
      <c r="AW48" s="89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8"/>
      <c r="AV49" s="89"/>
      <c r="AW49" s="89"/>
    </row>
    <row r="50" spans="1:49" x14ac:dyDescent="0.2">
      <c r="F50" s="41"/>
      <c r="AU50" s="88"/>
      <c r="AW50" s="89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abSelected="1" zoomScale="70" zoomScaleNormal="70" workbookViewId="0">
      <selection activeCell="AB30" sqref="AB30:AQ76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0" width="11.5" style="1"/>
    <col min="51" max="51" width="11.5" style="72"/>
    <col min="52" max="61" width="11.5" style="1"/>
  </cols>
  <sheetData>
    <row r="1" spans="1:61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Q1" s="53" t="str">
        <f>"MOVIMIENTO DE CRUDOS Y OBTENCIÓN DE PRODUCTOS PETROLÍFEROS - " &amp;AV3</f>
        <v>MOVIMIENTO DE CRUDOS Y OBTENCIÓN DE PRODUCTOS PETROLÍFEROS - ABRIL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3" t="str">
        <f>UPPER(TEXT(MAXA(B4:M4),"mmmm aaaa"))</f>
        <v>ABRIL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/>
      <c r="G4" s="14"/>
      <c r="H4" s="14"/>
      <c r="I4" s="14"/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3"/>
      <c r="AT4" s="74"/>
      <c r="AU4" s="74"/>
      <c r="AV4" s="74"/>
      <c r="AW4" s="74"/>
      <c r="AX4" s="83"/>
      <c r="AY4" s="74"/>
      <c r="AZ4" s="83"/>
      <c r="BA4" s="83"/>
      <c r="BB4" s="83"/>
      <c r="BC4" s="83"/>
      <c r="BD4" s="83"/>
      <c r="BE4" s="83"/>
      <c r="BF4" s="83"/>
      <c r="BG4" s="83"/>
      <c r="BH4" s="83"/>
      <c r="BI4" s="83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/>
      <c r="G5" s="19"/>
      <c r="H5" s="19"/>
      <c r="I5" s="45"/>
      <c r="J5" s="19"/>
      <c r="K5" s="19"/>
      <c r="L5" s="19"/>
      <c r="M5" s="19"/>
      <c r="N5" s="20">
        <f>SUM(B5:M5)</f>
        <v>0.16399999999999998</v>
      </c>
      <c r="P5" s="34"/>
      <c r="Q5" s="34"/>
      <c r="R5" s="47"/>
      <c r="AS5" s="32"/>
      <c r="AT5" s="75"/>
      <c r="AU5" s="75"/>
      <c r="AV5" s="75"/>
      <c r="AW5" s="75"/>
      <c r="AX5" s="32"/>
      <c r="AY5" s="75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/>
      <c r="G6" s="24"/>
      <c r="H6" s="24"/>
      <c r="I6" s="24"/>
      <c r="J6" s="24"/>
      <c r="K6" s="24"/>
      <c r="L6" s="24"/>
      <c r="M6" s="24"/>
      <c r="N6" s="25">
        <f>SUM(B6:M6)</f>
        <v>22536.415000000001</v>
      </c>
      <c r="P6" s="34"/>
      <c r="Q6" s="34"/>
      <c r="R6" s="47"/>
      <c r="AS6" s="32"/>
      <c r="AT6" s="75"/>
      <c r="AU6" s="76" t="str">
        <f>A6</f>
        <v>IMPORTACIONES DE CRUDO</v>
      </c>
      <c r="AV6" s="77">
        <f>HLOOKUP(MAXA(B4:M4),$B$4:$M$6,3,FALSE)</f>
        <v>6291.4139999999998</v>
      </c>
      <c r="AW6" s="75"/>
      <c r="AX6" s="32"/>
      <c r="AY6" s="75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-8.9480000000003201</v>
      </c>
      <c r="D7" s="28">
        <v>-95.347999999999956</v>
      </c>
      <c r="E7" s="28">
        <v>48.972000000000662</v>
      </c>
      <c r="F7" s="28"/>
      <c r="G7" s="28"/>
      <c r="H7" s="28"/>
      <c r="I7" s="28"/>
      <c r="J7" s="28"/>
      <c r="K7" s="28"/>
      <c r="L7" s="28"/>
      <c r="M7" s="28"/>
      <c r="N7" s="29">
        <f t="shared" ref="N7:N49" si="0">SUM(B7:M7)</f>
        <v>65.470000000000255</v>
      </c>
      <c r="P7" s="34"/>
      <c r="Q7" s="34"/>
      <c r="R7" s="47"/>
      <c r="AS7" s="32"/>
      <c r="AT7" s="75"/>
      <c r="AU7" s="76" t="str">
        <f>A12</f>
        <v>TOTAL PROCESADO</v>
      </c>
      <c r="AV7" s="77">
        <f>HLOOKUP(MAXA(B4:M4),$B$4:$M$12,9,FALSE)</f>
        <v>5487.43</v>
      </c>
      <c r="AW7" s="75"/>
      <c r="AX7" s="32"/>
      <c r="AY7" s="75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810.17700000000002</v>
      </c>
      <c r="F8" s="28"/>
      <c r="G8" s="28"/>
      <c r="H8" s="28"/>
      <c r="I8" s="28"/>
      <c r="J8" s="28"/>
      <c r="K8" s="28"/>
      <c r="L8" s="28"/>
      <c r="M8" s="28"/>
      <c r="N8" s="29">
        <f t="shared" si="0"/>
        <v>534.83300000000008</v>
      </c>
      <c r="P8" s="34"/>
      <c r="Q8" s="34"/>
      <c r="R8" s="47"/>
      <c r="AS8" s="32"/>
      <c r="AT8" s="75"/>
      <c r="AU8" s="76" t="str">
        <f>A15</f>
        <v>PRODUCCION BRUTA DE REFINERIA</v>
      </c>
      <c r="AV8" s="77">
        <f>HLOOKUP(MAXA(B4:M4),$B$4:$M$15,12,FALSE)</f>
        <v>5268.62</v>
      </c>
      <c r="AW8" s="75"/>
      <c r="AX8" s="32"/>
      <c r="AY8" s="75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>
        <v>12.411000000000001</v>
      </c>
      <c r="D9" s="28">
        <v>-72.739000000000033</v>
      </c>
      <c r="E9" s="28">
        <v>88.158000000000015</v>
      </c>
      <c r="F9" s="28"/>
      <c r="G9" s="28"/>
      <c r="H9" s="28"/>
      <c r="I9" s="28"/>
      <c r="J9" s="28"/>
      <c r="K9" s="28"/>
      <c r="L9" s="28"/>
      <c r="M9" s="28"/>
      <c r="N9" s="29">
        <f t="shared" si="0"/>
        <v>198.57199999999995</v>
      </c>
      <c r="P9" s="34"/>
      <c r="Q9" s="34"/>
      <c r="R9" s="47"/>
      <c r="AS9" s="32"/>
      <c r="AT9" s="75"/>
      <c r="AU9" s="75"/>
      <c r="AV9" s="77"/>
      <c r="AW9" s="75"/>
      <c r="AX9" s="32"/>
      <c r="AY9" s="75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>
        <v>22.417999999999999</v>
      </c>
      <c r="D10" s="28">
        <v>30.14</v>
      </c>
      <c r="E10" s="28">
        <v>45.326999999999998</v>
      </c>
      <c r="F10" s="28"/>
      <c r="G10" s="28"/>
      <c r="H10" s="28"/>
      <c r="I10" s="28"/>
      <c r="J10" s="28"/>
      <c r="K10" s="28"/>
      <c r="L10" s="28"/>
      <c r="M10" s="28"/>
      <c r="N10" s="29">
        <f t="shared" si="0"/>
        <v>157.37299999999999</v>
      </c>
      <c r="P10" s="34"/>
      <c r="Q10" s="34"/>
      <c r="R10" s="47"/>
      <c r="AS10" s="32"/>
      <c r="AT10" s="75"/>
      <c r="AU10" s="75"/>
      <c r="AV10" s="77"/>
      <c r="AW10" s="75"/>
      <c r="AX10" s="32"/>
      <c r="AY10" s="75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/>
      <c r="G11" s="28"/>
      <c r="H11" s="28"/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5"/>
      <c r="AU11" s="76" t="str">
        <f>A7</f>
        <v>IMPORTACIONES DE PROD. INTERMEDIOS Y MAT. AUXILIARES</v>
      </c>
      <c r="AV11" s="77">
        <f>HLOOKUP(MAXA(B4:M4),$B$4:$M$15,4,FALSE)</f>
        <v>48.972000000000662</v>
      </c>
      <c r="AW11" s="75"/>
      <c r="AX11" s="32"/>
      <c r="AY11" s="75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>
        <v>5482.4359999999997</v>
      </c>
      <c r="D12" s="24">
        <v>5325.0100000000011</v>
      </c>
      <c r="E12" s="24">
        <v>5487.43</v>
      </c>
      <c r="F12" s="24"/>
      <c r="G12" s="24"/>
      <c r="H12" s="24"/>
      <c r="I12" s="24"/>
      <c r="J12" s="24"/>
      <c r="K12" s="24"/>
      <c r="L12" s="24"/>
      <c r="M12" s="24"/>
      <c r="N12" s="25">
        <f>SUM(B12:M12)</f>
        <v>22026.017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6"/>
      <c r="AT12" s="78"/>
      <c r="AU12" s="76" t="str">
        <f>A8</f>
        <v>VARIACION DE STOCKS DE CRUDOS (Ef-Ei)</v>
      </c>
      <c r="AV12" s="79">
        <f>HLOOKUP(MAXA(B4:M4),$B$4:$M$15,5,FALSE)</f>
        <v>810.17700000000002</v>
      </c>
      <c r="AW12" s="78"/>
      <c r="AX12" s="86"/>
      <c r="AY12" s="78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5481.2889999999998</v>
      </c>
      <c r="F13" s="28"/>
      <c r="G13" s="28"/>
      <c r="H13" s="28"/>
      <c r="I13" s="28"/>
      <c r="J13" s="28"/>
      <c r="K13" s="28"/>
      <c r="L13" s="28"/>
      <c r="M13" s="28"/>
      <c r="N13" s="29">
        <f t="shared" si="0"/>
        <v>22001.745999999999</v>
      </c>
      <c r="P13" s="34"/>
      <c r="Q13" s="34"/>
      <c r="R13" s="47"/>
      <c r="AS13" s="32"/>
      <c r="AT13" s="75"/>
      <c r="AU13" s="76" t="str">
        <f>A9</f>
        <v>APROVISIONAMIENTO DE PROD. INTERMEDIOS Y MAT. AUXILIARES</v>
      </c>
      <c r="AV13" s="77">
        <f>HLOOKUP(MAXA(B4:M4),$B$4:$M$15,6,FALSE)</f>
        <v>88.158000000000015</v>
      </c>
      <c r="AW13" s="75"/>
      <c r="AX13" s="32"/>
      <c r="AY13" s="75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>
        <v>263.03199999999924</v>
      </c>
      <c r="D14" s="28">
        <v>95.601000000001477</v>
      </c>
      <c r="E14" s="28">
        <v>218.8100000000004</v>
      </c>
      <c r="F14" s="28"/>
      <c r="G14" s="28"/>
      <c r="H14" s="28"/>
      <c r="I14" s="46"/>
      <c r="J14" s="28"/>
      <c r="K14" s="28"/>
      <c r="L14" s="28"/>
      <c r="M14" s="28"/>
      <c r="N14" s="29">
        <f t="shared" si="0"/>
        <v>681.28700000000117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5"/>
      <c r="AU14" s="76" t="str">
        <f>A10</f>
        <v>PRODUCTOS TRASPASADOS Y BACKFLOWS</v>
      </c>
      <c r="AV14" s="77">
        <f>HLOOKUP(MAXA(B4:M4),$B$4:$M$15,7,FALSE)</f>
        <v>45.326999999999998</v>
      </c>
      <c r="AW14" s="75"/>
      <c r="AX14" s="32"/>
      <c r="AY14" s="75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f>SUM(B16:B49)</f>
        <v>5627.2970000000005</v>
      </c>
      <c r="C15" s="24">
        <f>SUM(C16:C49)</f>
        <v>5219.4040000000005</v>
      </c>
      <c r="D15" s="24">
        <f>SUM(D16:D49)</f>
        <v>5229.4089999999997</v>
      </c>
      <c r="E15" s="24">
        <f>SUM(E16:E49)</f>
        <v>5268.62</v>
      </c>
      <c r="F15" s="24"/>
      <c r="G15" s="24"/>
      <c r="H15" s="24"/>
      <c r="I15" s="24"/>
      <c r="J15" s="24"/>
      <c r="K15" s="24"/>
      <c r="L15" s="24"/>
      <c r="M15" s="24"/>
      <c r="N15" s="25">
        <f t="shared" si="0"/>
        <v>21344.73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Y15" s="75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/>
      <c r="G16" s="2"/>
      <c r="H16" s="2"/>
      <c r="I16" s="2"/>
      <c r="J16" s="2"/>
      <c r="K16" s="2"/>
      <c r="L16" s="2"/>
      <c r="M16" s="2"/>
      <c r="N16" s="4">
        <f t="shared" si="0"/>
        <v>654.90600000000006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/>
      <c r="G17" s="2"/>
      <c r="H17" s="2"/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170.124</v>
      </c>
      <c r="AW17" s="81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/>
      <c r="G18" s="2"/>
      <c r="H18" s="2"/>
      <c r="I18" s="2"/>
      <c r="J18" s="2"/>
      <c r="K18" s="2"/>
      <c r="L18" s="2"/>
      <c r="M18" s="2"/>
      <c r="N18" s="4">
        <f t="shared" si="0"/>
        <v>391.166</v>
      </c>
      <c r="AU18" s="80" t="str">
        <f t="shared" ref="AU18:AU50" si="1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/>
      <c r="G19" s="2"/>
      <c r="H19" s="2"/>
      <c r="I19" s="2"/>
      <c r="J19" s="2"/>
      <c r="K19" s="2"/>
      <c r="L19" s="2"/>
      <c r="M19" s="2"/>
      <c r="N19" s="4">
        <f t="shared" si="0"/>
        <v>52.791999999999987</v>
      </c>
      <c r="AU19" s="80" t="str">
        <f t="shared" si="1"/>
        <v>Butano</v>
      </c>
      <c r="AV19" s="81">
        <f>HLOOKUP(MAXA(B4:M4),$B$4:$M$49,15,FALSE)</f>
        <v>82.632000000000005</v>
      </c>
      <c r="AW19" s="81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/>
      <c r="G20" s="2"/>
      <c r="H20" s="2"/>
      <c r="I20" s="2"/>
      <c r="J20" s="2"/>
      <c r="K20" s="2"/>
      <c r="L20" s="2"/>
      <c r="M20" s="2"/>
      <c r="N20" s="4">
        <f t="shared" si="0"/>
        <v>580.73199999999997</v>
      </c>
      <c r="AU20" s="80" t="str">
        <f t="shared" si="1"/>
        <v>Propano</v>
      </c>
      <c r="AV20" s="81">
        <f>HLOOKUP(MAXA(B4:M4),$B$4:$M$49,16,FALSE)</f>
        <v>8.0939999999999941</v>
      </c>
      <c r="AW20" s="81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/>
      <c r="G21" s="2"/>
      <c r="H21" s="2"/>
      <c r="I21" s="2"/>
      <c r="J21" s="2"/>
      <c r="K21" s="2"/>
      <c r="L21" s="2"/>
      <c r="M21" s="2"/>
      <c r="N21" s="4">
        <f t="shared" si="0"/>
        <v>0</v>
      </c>
      <c r="AU21" s="80" t="str">
        <f t="shared" si="1"/>
        <v>Nafta</v>
      </c>
      <c r="AV21" s="81">
        <f>HLOOKUP(MAXA(B4:M4),$B$4:$M$49,17,FALSE)</f>
        <v>152.62799999999999</v>
      </c>
      <c r="AW21" s="81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/>
      <c r="G22" s="2"/>
      <c r="H22" s="2"/>
      <c r="I22" s="2"/>
      <c r="J22" s="2"/>
      <c r="K22" s="2"/>
      <c r="L22" s="2"/>
      <c r="M22" s="2"/>
      <c r="N22" s="4">
        <f t="shared" si="0"/>
        <v>414.50099999999998</v>
      </c>
      <c r="AU22" s="80" t="str">
        <f t="shared" si="1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/>
      <c r="G23" s="2"/>
      <c r="H23" s="2"/>
      <c r="I23" s="2"/>
      <c r="J23" s="2"/>
      <c r="K23" s="2"/>
      <c r="L23" s="2"/>
      <c r="M23" s="2"/>
      <c r="N23" s="4">
        <f t="shared" si="0"/>
        <v>30.311999999999998</v>
      </c>
      <c r="AU23" s="80" t="str">
        <f t="shared" si="1"/>
        <v>Gasolina 95 I.O.</v>
      </c>
      <c r="AV23" s="81">
        <f>HLOOKUP(MAXA(B4:M4),$B$4:$M$49,19,FALSE)</f>
        <v>102.251</v>
      </c>
      <c r="AW23" s="81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/>
      <c r="G24" s="2"/>
      <c r="H24" s="2"/>
      <c r="I24" s="2"/>
      <c r="J24" s="2"/>
      <c r="K24" s="2"/>
      <c r="L24" s="2"/>
      <c r="M24" s="2"/>
      <c r="N24" s="4">
        <f t="shared" si="0"/>
        <v>0</v>
      </c>
      <c r="AU24" s="80" t="str">
        <f t="shared" si="1"/>
        <v>Gasolina 98 I.O.</v>
      </c>
      <c r="AV24" s="81">
        <f>HLOOKUP(MAXA(B4:M4),$B$4:$M$49,20,FALSE)</f>
        <v>8.7070000000000007</v>
      </c>
      <c r="AW24" s="81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/>
      <c r="G25" s="2"/>
      <c r="H25" s="2"/>
      <c r="I25" s="2"/>
      <c r="J25" s="2"/>
      <c r="K25" s="2"/>
      <c r="L25" s="2"/>
      <c r="M25" s="2"/>
      <c r="N25" s="4">
        <f t="shared" si="0"/>
        <v>2715.3270000000002</v>
      </c>
      <c r="AU25" s="80" t="str">
        <f t="shared" si="1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/>
      <c r="G26" s="2"/>
      <c r="H26" s="2"/>
      <c r="I26" s="2"/>
      <c r="J26" s="2"/>
      <c r="K26" s="2"/>
      <c r="L26" s="2"/>
      <c r="M26" s="2"/>
      <c r="N26" s="4">
        <f t="shared" si="0"/>
        <v>0</v>
      </c>
      <c r="AU26" s="80" t="str">
        <f t="shared" si="1"/>
        <v>Otras Gasolinas</v>
      </c>
      <c r="AV26" s="81">
        <f>HLOOKUP(MAXA(B4:M4),$B$4:$M$49,22,FALSE)</f>
        <v>724.36799999999994</v>
      </c>
      <c r="AW26" s="81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/>
      <c r="G27" s="2"/>
      <c r="H27" s="2"/>
      <c r="I27" s="2"/>
      <c r="J27" s="2"/>
      <c r="K27" s="2"/>
      <c r="L27" s="2"/>
      <c r="M27" s="2"/>
      <c r="N27" s="4">
        <f t="shared" si="0"/>
        <v>0</v>
      </c>
      <c r="AU27" s="80" t="str">
        <f t="shared" si="1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/>
      <c r="G28" s="2"/>
      <c r="H28" s="2"/>
      <c r="I28" s="2"/>
      <c r="J28" s="2"/>
      <c r="K28" s="2"/>
      <c r="L28" s="2"/>
      <c r="M28" s="2"/>
      <c r="N28" s="4">
        <f t="shared" si="0"/>
        <v>185.851</v>
      </c>
      <c r="AU28" s="80" t="str">
        <f t="shared" si="1"/>
        <v>Gasolinas Mezcla</v>
      </c>
      <c r="AV28" s="81">
        <f>HLOOKUP(MAXA(B4:M4),$B$4:$M$49,24,FALSE)</f>
        <v>0</v>
      </c>
      <c r="AW28" s="81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/>
      <c r="G29" s="2"/>
      <c r="H29" s="2"/>
      <c r="I29" s="2"/>
      <c r="J29" s="2"/>
      <c r="K29" s="2"/>
      <c r="L29" s="2"/>
      <c r="M29" s="2"/>
      <c r="N29" s="4">
        <f t="shared" si="0"/>
        <v>0</v>
      </c>
      <c r="AU29" s="80" t="str">
        <f t="shared" si="1"/>
        <v>Queroseno aviac. Jet A1</v>
      </c>
      <c r="AV29" s="81">
        <f>HLOOKUP(MAXA(B4:M4),$B$4:$M$49,25,FALSE)</f>
        <v>40.491</v>
      </c>
      <c r="AW29" s="81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/>
      <c r="G30" s="2"/>
      <c r="H30" s="2"/>
      <c r="I30" s="2"/>
      <c r="J30" s="2"/>
      <c r="K30" s="2"/>
      <c r="L30" s="2"/>
      <c r="M30" s="2"/>
      <c r="N30" s="4">
        <f t="shared" si="0"/>
        <v>3311.3740000000003</v>
      </c>
      <c r="AU30" s="80" t="str">
        <f t="shared" si="1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/>
      <c r="G31" s="2"/>
      <c r="H31" s="2"/>
      <c r="I31" s="2"/>
      <c r="J31" s="2"/>
      <c r="K31" s="2"/>
      <c r="L31" s="2"/>
      <c r="M31" s="2"/>
      <c r="N31" s="4">
        <f t="shared" si="0"/>
        <v>0</v>
      </c>
      <c r="AU31" s="80" t="str">
        <f t="shared" si="1"/>
        <v>Otros Querosenos</v>
      </c>
      <c r="AV31" s="81">
        <f>HLOOKUP(MAXA(B4:M4),$B$4:$M$49,27,FALSE)</f>
        <v>767.08299999999997</v>
      </c>
      <c r="AW31" s="81"/>
    </row>
    <row r="32" spans="1:49" ht="16.5" customHeight="1" x14ac:dyDescent="0.2">
      <c r="A32" s="9" t="s">
        <v>30</v>
      </c>
      <c r="B32" s="3">
        <v>254.19</v>
      </c>
      <c r="C32" s="2">
        <v>218.411</v>
      </c>
      <c r="D32" s="2">
        <v>292.517</v>
      </c>
      <c r="E32" s="2">
        <v>271.846</v>
      </c>
      <c r="F32" s="2"/>
      <c r="G32" s="2"/>
      <c r="H32" s="2"/>
      <c r="I32" s="2"/>
      <c r="J32" s="2"/>
      <c r="K32" s="2"/>
      <c r="L32" s="2"/>
      <c r="M32" s="2"/>
      <c r="N32" s="4">
        <f t="shared" si="0"/>
        <v>1036.9639999999999</v>
      </c>
      <c r="AU32" s="80" t="str">
        <f t="shared" si="1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/>
      <c r="G33" s="2"/>
      <c r="H33" s="2"/>
      <c r="I33" s="2"/>
      <c r="J33" s="2"/>
      <c r="K33" s="2"/>
      <c r="L33" s="2"/>
      <c r="M33" s="2"/>
      <c r="N33" s="4">
        <f t="shared" si="0"/>
        <v>133.494</v>
      </c>
      <c r="AU33" s="80" t="str">
        <f t="shared" si="1"/>
        <v>Gasóleo A 10 PPM</v>
      </c>
      <c r="AV33" s="81">
        <f>HLOOKUP(MAXA(B4:M4),$B$4:$M$49,29,FALSE)</f>
        <v>271.846</v>
      </c>
      <c r="AW33" s="81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/>
      <c r="G34" s="2"/>
      <c r="H34" s="2"/>
      <c r="I34" s="2"/>
      <c r="J34" s="2"/>
      <c r="K34" s="2"/>
      <c r="L34" s="2"/>
      <c r="M34" s="2"/>
      <c r="N34" s="4">
        <f t="shared" si="0"/>
        <v>46.94</v>
      </c>
      <c r="AU34" s="80" t="str">
        <f t="shared" si="1"/>
        <v>Gasóleo B</v>
      </c>
      <c r="AV34" s="81">
        <f>HLOOKUP(MAXA(B4:M4),$B$4:$M$49,30,FALSE)</f>
        <v>27.341000000000001</v>
      </c>
      <c r="AW34" s="81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/>
      <c r="G35" s="2"/>
      <c r="H35" s="2"/>
      <c r="I35" s="2"/>
      <c r="J35" s="2"/>
      <c r="K35" s="2"/>
      <c r="L35" s="2"/>
      <c r="M35" s="2"/>
      <c r="N35" s="4">
        <f t="shared" si="0"/>
        <v>240.51</v>
      </c>
      <c r="AU35" s="80" t="str">
        <f t="shared" si="1"/>
        <v>Gasóleo C</v>
      </c>
      <c r="AV35" s="81">
        <f>HLOOKUP(MAXA(B4:M4),$B$4:$M$49,31,FALSE)</f>
        <v>6.8419999999999996</v>
      </c>
      <c r="AW35" s="81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/>
      <c r="G36" s="2"/>
      <c r="H36" s="2"/>
      <c r="I36" s="2"/>
      <c r="J36" s="2"/>
      <c r="K36" s="2"/>
      <c r="L36" s="2"/>
      <c r="M36" s="2"/>
      <c r="N36" s="4">
        <f t="shared" si="0"/>
        <v>0</v>
      </c>
      <c r="AU36" s="80" t="str">
        <f t="shared" si="1"/>
        <v>Gasóleo para uso marítimo</v>
      </c>
      <c r="AV36" s="81">
        <f>HLOOKUP(MAXA(B4:M4),$B$4:$M$49,32,FALSE)</f>
        <v>54.295999999999999</v>
      </c>
      <c r="AW36" s="81"/>
    </row>
    <row r="37" spans="1:49" ht="16.5" customHeight="1" x14ac:dyDescent="0.2">
      <c r="A37" s="9" t="s">
        <v>35</v>
      </c>
      <c r="B37" s="3">
        <v>1932.47</v>
      </c>
      <c r="C37" s="2">
        <v>1785.873</v>
      </c>
      <c r="D37" s="2">
        <v>1766.7179999999998</v>
      </c>
      <c r="E37" s="2">
        <v>1751.6610000000001</v>
      </c>
      <c r="F37" s="2"/>
      <c r="G37" s="2"/>
      <c r="H37" s="2"/>
      <c r="I37" s="2"/>
      <c r="J37" s="2"/>
      <c r="K37" s="2"/>
      <c r="L37" s="2"/>
      <c r="M37" s="2"/>
      <c r="N37" s="4">
        <f t="shared" si="0"/>
        <v>7236.7219999999998</v>
      </c>
      <c r="AU37" s="80" t="str">
        <f t="shared" si="1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/>
      <c r="G38" s="2"/>
      <c r="H38" s="2"/>
      <c r="I38" s="2"/>
      <c r="J38" s="2"/>
      <c r="K38" s="2"/>
      <c r="L38" s="2"/>
      <c r="M38" s="2"/>
      <c r="N38" s="4">
        <f t="shared" si="0"/>
        <v>48.638000000000005</v>
      </c>
      <c r="AU38" s="80" t="str">
        <f t="shared" si="1"/>
        <v>Otros Gasóleos</v>
      </c>
      <c r="AV38" s="81">
        <f>HLOOKUP(MAXA(B4:M4),$B$4:$M$49,34,FALSE)</f>
        <v>1751.6610000000001</v>
      </c>
      <c r="AW38" s="81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/>
      <c r="G39" s="2"/>
      <c r="H39" s="2"/>
      <c r="I39" s="2"/>
      <c r="J39" s="2"/>
      <c r="K39" s="2"/>
      <c r="L39" s="2"/>
      <c r="M39" s="2"/>
      <c r="N39" s="4">
        <f t="shared" si="0"/>
        <v>17.826000000000001</v>
      </c>
      <c r="AU39" s="80" t="str">
        <f t="shared" si="1"/>
        <v>Biodiesel</v>
      </c>
      <c r="AV39" s="81">
        <f>HLOOKUP(MAXA(B4:M4),$B$4:$M$49,35,FALSE)</f>
        <v>22.597000000000001</v>
      </c>
      <c r="AW39" s="81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/>
      <c r="G40" s="2"/>
      <c r="H40" s="2"/>
      <c r="I40" s="2"/>
      <c r="J40" s="2"/>
      <c r="K40" s="2"/>
      <c r="L40" s="2"/>
      <c r="M40" s="2"/>
      <c r="N40" s="4">
        <f t="shared" si="0"/>
        <v>0</v>
      </c>
      <c r="AU40" s="80" t="str">
        <f t="shared" si="1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/>
      <c r="G41" s="2"/>
      <c r="H41" s="2"/>
      <c r="I41" s="2"/>
      <c r="J41" s="2"/>
      <c r="K41" s="2"/>
      <c r="L41" s="2"/>
      <c r="M41" s="2"/>
      <c r="N41" s="4">
        <f t="shared" si="0"/>
        <v>3.6320000000000001</v>
      </c>
      <c r="AU41" s="80" t="str">
        <f t="shared" si="1"/>
        <v>Fuelóleo BIA</v>
      </c>
      <c r="AV41" s="81">
        <f>HLOOKUP(MAXA(B4:M4),$B$4:$M$49,37,FALSE)</f>
        <v>0</v>
      </c>
      <c r="AW41" s="81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/>
      <c r="G42" s="2"/>
      <c r="H42" s="2"/>
      <c r="I42" s="2"/>
      <c r="J42" s="2"/>
      <c r="K42" s="2"/>
      <c r="L42" s="2"/>
      <c r="M42" s="2"/>
      <c r="N42" s="4">
        <f t="shared" si="0"/>
        <v>0</v>
      </c>
      <c r="AU42" s="80" t="str">
        <f t="shared" si="1"/>
        <v>Fuelóleo de refineria</v>
      </c>
      <c r="AV42" s="81">
        <f>HLOOKUP(MAXA(B4:M4),$B$4:$M$49,38,FALSE)</f>
        <v>0</v>
      </c>
      <c r="AW42" s="81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/>
      <c r="G43" s="2"/>
      <c r="H43" s="2"/>
      <c r="I43" s="2"/>
      <c r="J43" s="2"/>
      <c r="K43" s="2"/>
      <c r="L43" s="2"/>
      <c r="M43" s="2"/>
      <c r="N43" s="4">
        <f t="shared" si="0"/>
        <v>1619.3420000000001</v>
      </c>
      <c r="AU43" s="80" t="str">
        <f t="shared" si="1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/>
      <c r="G44" s="2"/>
      <c r="H44" s="2"/>
      <c r="I44" s="2"/>
      <c r="J44" s="2"/>
      <c r="K44" s="2"/>
      <c r="L44" s="2"/>
      <c r="M44" s="2"/>
      <c r="N44" s="4">
        <f t="shared" si="0"/>
        <v>98.175999999999988</v>
      </c>
      <c r="AU44" s="80" t="str">
        <f t="shared" si="1"/>
        <v>Otros Fuelóleos</v>
      </c>
      <c r="AV44" s="81">
        <f>HLOOKUP(MAXA(B4:M4),$B$4:$M$49,40,FALSE)</f>
        <v>432.93200000000002</v>
      </c>
      <c r="AW44" s="81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/>
      <c r="G45" s="2"/>
      <c r="H45" s="2"/>
      <c r="I45" s="2"/>
      <c r="J45" s="2"/>
      <c r="K45" s="2"/>
      <c r="L45" s="2"/>
      <c r="M45" s="2"/>
      <c r="N45" s="4">
        <f t="shared" si="0"/>
        <v>600.17000000000007</v>
      </c>
      <c r="AU45" s="80" t="str">
        <f t="shared" si="1"/>
        <v>Aceites y bases lubricantes</v>
      </c>
      <c r="AV45" s="81">
        <f>HLOOKUP(MAXA(B4:M4),$B$4:$M$49,41,FALSE)</f>
        <v>24.268999999999998</v>
      </c>
      <c r="AW45" s="81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/>
      <c r="G46" s="2"/>
      <c r="H46" s="2"/>
      <c r="I46" s="2"/>
      <c r="J46" s="2"/>
      <c r="K46" s="2"/>
      <c r="L46" s="2"/>
      <c r="M46" s="2"/>
      <c r="N46" s="4">
        <f t="shared" si="0"/>
        <v>44.430999999999997</v>
      </c>
      <c r="AU46" s="80" t="str">
        <f t="shared" si="1"/>
        <v>Productos asfálticos</v>
      </c>
      <c r="AV46" s="81">
        <f>HLOOKUP(MAXA(B4:M4),$B$4:$M$49,42,FALSE)</f>
        <v>177.46</v>
      </c>
      <c r="AW46" s="81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/>
      <c r="G47" s="2"/>
      <c r="H47" s="2"/>
      <c r="I47" s="2"/>
      <c r="J47" s="2"/>
      <c r="K47" s="2"/>
      <c r="L47" s="2"/>
      <c r="M47" s="2"/>
      <c r="N47" s="4">
        <f t="shared" si="0"/>
        <v>26.139000000000003</v>
      </c>
      <c r="AU47" s="80" t="str">
        <f t="shared" si="1"/>
        <v>Disolventes</v>
      </c>
      <c r="AV47" s="81">
        <f>HLOOKUP(MAXA(B4:M4),$B$4:$M$49,43,FALSE)</f>
        <v>10.641999999999999</v>
      </c>
      <c r="AW47" s="81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/>
      <c r="G48" s="2"/>
      <c r="H48" s="2"/>
      <c r="I48" s="2"/>
      <c r="J48" s="2"/>
      <c r="K48" s="2"/>
      <c r="L48" s="2"/>
      <c r="M48" s="2"/>
      <c r="N48" s="4">
        <f t="shared" si="0"/>
        <v>1143.4259999999999</v>
      </c>
      <c r="AU48" s="80" t="str">
        <f t="shared" si="1"/>
        <v>Parafinas</v>
      </c>
      <c r="AV48" s="81">
        <f>HLOOKUP(MAXA(B4:M4),$B$4:$M$49,44,FALSE)</f>
        <v>6.58</v>
      </c>
      <c r="AW48" s="81"/>
    </row>
    <row r="49" spans="1:49" ht="18" customHeight="1" x14ac:dyDescent="0.2">
      <c r="A49" s="10" t="s">
        <v>52</v>
      </c>
      <c r="B49" s="7">
        <v>178.72899999999998</v>
      </c>
      <c r="C49" s="5">
        <v>231.23899999999867</v>
      </c>
      <c r="D49" s="5">
        <v>123.14199999999997</v>
      </c>
      <c r="E49" s="5">
        <v>178.24900000000071</v>
      </c>
      <c r="F49" s="5"/>
      <c r="G49" s="5"/>
      <c r="H49" s="5"/>
      <c r="I49" s="5"/>
      <c r="J49" s="5"/>
      <c r="K49" s="5"/>
      <c r="L49" s="5"/>
      <c r="M49" s="5"/>
      <c r="N49" s="6">
        <f t="shared" si="0"/>
        <v>711.35899999999936</v>
      </c>
      <c r="AU49" s="80" t="str">
        <f t="shared" si="1"/>
        <v>Coque de petróleo</v>
      </c>
      <c r="AV49" s="81">
        <f>HLOOKUP(MAXA(B4:M4),$B$4:$M$49,45,FALSE)</f>
        <v>247.52699999999999</v>
      </c>
      <c r="AW49" s="81"/>
    </row>
    <row r="50" spans="1:49" x14ac:dyDescent="0.2">
      <c r="F50" s="41"/>
      <c r="AU50" s="80" t="str">
        <f t="shared" si="1"/>
        <v>Otros Productos</v>
      </c>
      <c r="AV50" s="81">
        <f>HLOOKUP(MAXA(B4:M4),$B$4:$M$49,46,FALSE)</f>
        <v>178.24900000000071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topLeftCell="A108" zoomScale="70" zoomScaleNormal="70" workbookViewId="0">
      <selection activeCell="AW20" sqref="AW20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90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G2:AF46"/>
  <sheetViews>
    <sheetView topLeftCell="A15" zoomScale="85" zoomScaleNormal="85" workbookViewId="0">
      <selection activeCell="I3" sqref="I3"/>
    </sheetView>
  </sheetViews>
  <sheetFormatPr baseColWidth="10" defaultRowHeight="14.25" x14ac:dyDescent="0.2"/>
  <cols>
    <col min="1" max="1" width="1.5" customWidth="1"/>
    <col min="19" max="19" width="4.125" customWidth="1"/>
  </cols>
  <sheetData>
    <row r="2" spans="7:32" ht="15.75" x14ac:dyDescent="0.25">
      <c r="G2" s="71" t="str">
        <f>"MOVIMIENTO DE CRUDOS Y OBTENCIÓN DE PRODUCTOS PETROLÍFEROS - "&amp;'2024'!$AV$3</f>
        <v>MOVIMIENTO DE CRUDOS Y OBTENCIÓN DE PRODUCTOS PETROLÍFEROS - ABRIL 2024</v>
      </c>
    </row>
    <row r="14" spans="7:32" ht="15" x14ac:dyDescent="0.2">
      <c r="W14" s="54"/>
      <c r="X14" s="54"/>
      <c r="Y14" s="54"/>
      <c r="Z14" s="54"/>
      <c r="AA14" s="54"/>
      <c r="AB14" s="54"/>
      <c r="AC14" s="54"/>
      <c r="AD14" s="54"/>
      <c r="AE14" s="54"/>
      <c r="AF14" s="16"/>
    </row>
    <row r="15" spans="7:32" x14ac:dyDescent="0.2">
      <c r="W15" s="34"/>
      <c r="X15" s="47"/>
      <c r="Y15" s="21"/>
      <c r="Z15" s="21"/>
      <c r="AA15" s="21"/>
      <c r="AB15" s="21"/>
      <c r="AC15" s="21"/>
      <c r="AD15" s="21"/>
      <c r="AE15" s="21"/>
      <c r="AF15" s="21"/>
    </row>
    <row r="16" spans="7:32" x14ac:dyDescent="0.2">
      <c r="W16" s="34"/>
      <c r="X16" s="47"/>
      <c r="Y16" s="21"/>
      <c r="Z16" s="21"/>
      <c r="AA16" s="21"/>
      <c r="AB16" s="21"/>
      <c r="AC16" s="21"/>
      <c r="AD16" s="21"/>
      <c r="AE16" s="21"/>
      <c r="AF16" s="21"/>
    </row>
    <row r="17" spans="23:32" x14ac:dyDescent="0.2">
      <c r="W17" s="34"/>
      <c r="X17" s="47"/>
      <c r="Y17" s="21"/>
      <c r="Z17" s="21"/>
      <c r="AA17" s="21"/>
      <c r="AB17" s="21"/>
      <c r="AC17" s="21"/>
      <c r="AD17" s="21"/>
      <c r="AE17" s="21"/>
      <c r="AF17" s="21"/>
    </row>
    <row r="18" spans="23:32" x14ac:dyDescent="0.2">
      <c r="W18" s="34"/>
      <c r="X18" s="47"/>
      <c r="Y18" s="21"/>
      <c r="Z18" s="21"/>
      <c r="AA18" s="21"/>
      <c r="AB18" s="21"/>
      <c r="AC18" s="21"/>
      <c r="AD18" s="21"/>
      <c r="AE18" s="21"/>
      <c r="AF18" s="21"/>
    </row>
    <row r="19" spans="23:32" x14ac:dyDescent="0.2">
      <c r="W19" s="34"/>
      <c r="X19" s="47"/>
      <c r="Y19" s="21"/>
      <c r="Z19" s="21"/>
      <c r="AA19" s="21"/>
      <c r="AB19" s="21"/>
      <c r="AC19" s="21"/>
      <c r="AD19" s="21"/>
      <c r="AE19" s="21"/>
      <c r="AF19" s="21"/>
    </row>
    <row r="20" spans="23:32" x14ac:dyDescent="0.2">
      <c r="W20" s="34"/>
      <c r="X20" s="47"/>
      <c r="Y20" s="21"/>
      <c r="Z20" s="21"/>
      <c r="AA20" s="21"/>
      <c r="AB20" s="21"/>
      <c r="AC20" s="21"/>
      <c r="AD20" s="21"/>
      <c r="AE20" s="21"/>
      <c r="AF20" s="21"/>
    </row>
    <row r="21" spans="23:32" ht="15" x14ac:dyDescent="0.2">
      <c r="W21" s="55"/>
      <c r="X21" s="47"/>
      <c r="Y21" s="21"/>
      <c r="Z21" s="21"/>
      <c r="AA21" s="21"/>
      <c r="AB21" s="21"/>
      <c r="AC21" s="21"/>
      <c r="AD21" s="21"/>
      <c r="AE21" s="21"/>
      <c r="AF21" s="21"/>
    </row>
    <row r="22" spans="23:32" ht="15" x14ac:dyDescent="0.2">
      <c r="W22" s="34"/>
      <c r="X22" s="47"/>
      <c r="Y22" s="56"/>
      <c r="Z22" s="56"/>
      <c r="AA22" s="56"/>
      <c r="AB22" s="56"/>
      <c r="AC22" s="56"/>
      <c r="AD22" s="56"/>
      <c r="AE22" s="56"/>
      <c r="AF22" s="31"/>
    </row>
    <row r="23" spans="23:32" x14ac:dyDescent="0.2">
      <c r="W23" s="34"/>
      <c r="X23" s="47"/>
      <c r="Y23" s="21"/>
      <c r="Z23" s="21"/>
      <c r="AA23" s="21"/>
      <c r="AB23" s="21"/>
      <c r="AC23" s="21"/>
      <c r="AD23" s="21"/>
      <c r="AE23" s="21"/>
      <c r="AF23" s="21"/>
    </row>
    <row r="24" spans="23:32" x14ac:dyDescent="0.2">
      <c r="W24" s="34"/>
      <c r="X24" s="47"/>
      <c r="Y24" s="42"/>
      <c r="Z24" s="42"/>
      <c r="AA24" s="42"/>
      <c r="AB24" s="42"/>
      <c r="AC24" s="42"/>
      <c r="AD24" s="42"/>
      <c r="AE24" s="42"/>
      <c r="AF24" s="21"/>
    </row>
    <row r="25" spans="23:32" x14ac:dyDescent="0.2">
      <c r="W25" s="21"/>
      <c r="X25" s="42"/>
      <c r="Y25" s="42"/>
      <c r="Z25" s="42"/>
      <c r="AA25" s="42"/>
      <c r="AB25" s="42"/>
      <c r="AC25" s="42"/>
      <c r="AD25" s="42"/>
      <c r="AE25" s="42"/>
      <c r="AF25" s="32"/>
    </row>
    <row r="27" spans="23:32" x14ac:dyDescent="0.2">
      <c r="X27" s="38"/>
      <c r="Y27" s="38"/>
      <c r="Z27" s="38"/>
      <c r="AA27" s="38"/>
      <c r="AB27" s="38"/>
      <c r="AC27" s="38"/>
      <c r="AD27" s="38"/>
      <c r="AE27" s="38"/>
    </row>
    <row r="46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  <vt:lpstr>Impresión!Área_de_impresión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2024-06-19T12:40:11Z</dcterms:modified>
</cp:coreProperties>
</file>