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13_ncr:1_{2AB5F990-1C59-410F-B75C-5ED05A9C2949}" xr6:coauthVersionLast="47" xr6:coauthVersionMax="47" xr10:uidLastSave="{00000000-0000-0000-0000-000000000000}"/>
  <bookViews>
    <workbookView xWindow="-120" yWindow="-120" windowWidth="29040" windowHeight="15840" firstSheet="6" activeTab="13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Evolución_Anual" sheetId="16" r:id="rId14"/>
    <sheet name="Impresión" sheetId="17" state="hidden" r:id="rId15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'2023'!$AB$30:$AQ$74</definedName>
    <definedName name="_xlnm.Print_Area" localSheetId="0">Carátula!$A:$H</definedName>
    <definedName name="_xlnm.Print_Area" localSheetId="14">Impresión!$A$1:$R$47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3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4" l="1"/>
  <c r="N5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K15" i="14"/>
  <c r="J15" i="14"/>
  <c r="I15" i="14"/>
  <c r="H15" i="14"/>
  <c r="G15" i="14"/>
  <c r="F15" i="14"/>
  <c r="E15" i="14"/>
  <c r="D15" i="14"/>
  <c r="C15" i="14"/>
  <c r="B15" i="14"/>
  <c r="AV50" i="14" l="1"/>
  <c r="AU50" i="14"/>
  <c r="AV49" i="14"/>
  <c r="AV48" i="14"/>
  <c r="AV47" i="14"/>
  <c r="AV46" i="14"/>
  <c r="AV45" i="14"/>
  <c r="AV44" i="14"/>
  <c r="AV43" i="14"/>
  <c r="AV42" i="14"/>
  <c r="AV41" i="14"/>
  <c r="AV40" i="14"/>
  <c r="AV39" i="14"/>
  <c r="AV38" i="14"/>
  <c r="AV37" i="14"/>
  <c r="AV36" i="14"/>
  <c r="AV35" i="14"/>
  <c r="AV34" i="14"/>
  <c r="AV33" i="14"/>
  <c r="AV32" i="14"/>
  <c r="AV31" i="14"/>
  <c r="AV30" i="14"/>
  <c r="AV29" i="14"/>
  <c r="AV28" i="14"/>
  <c r="AV27" i="14"/>
  <c r="AV26" i="14"/>
  <c r="AV25" i="14"/>
  <c r="AV24" i="14"/>
  <c r="AV23" i="14"/>
  <c r="AV22" i="14"/>
  <c r="AV21" i="14"/>
  <c r="AV20" i="14"/>
  <c r="AV19" i="14"/>
  <c r="AV18" i="14"/>
  <c r="AV17" i="14"/>
  <c r="AU49" i="14"/>
  <c r="AU48" i="14"/>
  <c r="AU47" i="14"/>
  <c r="AU46" i="14"/>
  <c r="AU45" i="14"/>
  <c r="AU44" i="14"/>
  <c r="AU43" i="14"/>
  <c r="AU42" i="14"/>
  <c r="AU41" i="14"/>
  <c r="AU40" i="14"/>
  <c r="AU39" i="14"/>
  <c r="AU38" i="14"/>
  <c r="AU37" i="14"/>
  <c r="AU36" i="14"/>
  <c r="AU35" i="14"/>
  <c r="AU34" i="14"/>
  <c r="AU33" i="14"/>
  <c r="AU32" i="14"/>
  <c r="AU31" i="14"/>
  <c r="AU30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V15" i="14"/>
  <c r="AV14" i="14"/>
  <c r="AV13" i="14"/>
  <c r="AV12" i="14"/>
  <c r="AV11" i="14"/>
  <c r="AU15" i="14"/>
  <c r="AU14" i="14"/>
  <c r="AU13" i="14"/>
  <c r="AU12" i="14"/>
  <c r="AU11" i="14"/>
  <c r="AV3" i="14"/>
  <c r="AV8" i="14"/>
  <c r="AV7" i="14"/>
  <c r="AU8" i="14"/>
  <c r="AU7" i="14"/>
  <c r="AU6" i="14"/>
  <c r="AV6" i="14"/>
  <c r="Q1" i="14" l="1"/>
  <c r="B16" i="15"/>
  <c r="G2" i="17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<sst xmlns="http://schemas.openxmlformats.org/spreadsheetml/2006/main" count="625" uniqueCount="63">
  <si>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</si>
  <si>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</si>
  <si>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</si>
  <si>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</si>
  <si>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</si>
  <si>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</si>
  <si>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</si>
  <si>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</si>
  <si>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</si>
  <si>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</si>
  <si>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</si>
  <si>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</si>
  <si>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</si>
  <si>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</si>
  <si>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</si>
  <si>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</si>
  <si>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</si>
  <si>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</si>
  <si>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</si>
  <si>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</si>
  <si>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</si>
  <si>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</si>
  <si>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</si>
  <si>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</si>
  <si>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</si>
  <si>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</si>
  <si>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</si>
  <si>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</si>
  <si>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</si>
  <si>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</si>
  <si>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</si>
  <si>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</si>
  <si>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</si>
  <si>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</si>
  <si>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</si>
  <si>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</si>
  <si>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</si>
  <si>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</si>
  <si>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</si>
  <si>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</si>
  <si>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</si>
  <si>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</si>
  <si>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</si>
  <si>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</si>
  <si>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</si>
  <si>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</si>
  <si>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</si>
  <si>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</si>
  <si>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</si>
  <si>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</si>
  <si>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</si>
  <si>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</si>
  <si>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</si>
  <si>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</si>
  <si>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</si>
  <si>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</si>
  <si>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</si>
  <si>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</si>
  <si>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</si>
  <si>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</si>
  <si>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MOVIMIENTO DE CRUDOS Y OBTENCIÓN DE PRODUCTOS PETROLÍFEROS - AÑO 2023- EVOLUCIÓN MENSUAL</t>
  </si>
  <si>
    <t>Otros combustibles para uso marítimo</t>
  </si>
  <si>
    <t>Información provisional elaborada a partir de la información disponible a fecha 14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</si>
</sst>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5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86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19" fillId="0" borderId="0" xfId="0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'2023'!$B$5:$M$5</c:f>
              <c:numCache>
                <c:formatCode>#,##0</c:formatCode>
                <c:ptCount val="12"/>
                <c:pt idx="0">
                  <c:v>3.9E-2</c:v>
                </c:pt>
                <c:pt idx="1">
                  <c:v>7.4999999999999997E-2</c:v>
                </c:pt>
                <c:pt idx="2">
                  <c:v>7.1999999999999995E-2</c:v>
                </c:pt>
                <c:pt idx="3">
                  <c:v>0</c:v>
                </c:pt>
                <c:pt idx="4">
                  <c:v>1.0999999999999999E-2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8.3000000000000004E-2</c:v>
                </c:pt>
                <c:pt idx="8">
                  <c:v>0</c:v>
                </c:pt>
                <c:pt idx="9">
                  <c:v>0.107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8-4FCE-9C4D-1EBF087094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79-488D-A98F-DA9CA10B2F48}"/>
            </c:ext>
          </c:extLst>
        </c:ser>
        <c:ser>
          <c:idx val="1"/>
          <c:order val="1"/>
          <c:tx>
            <c:strRef>
              <c:f>'2023'!$A$41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'2023'!$B$41:$M$41</c:f>
              <c:numCache>
                <c:formatCode>#,##0</c:formatCode>
                <c:ptCount val="12"/>
                <c:pt idx="0">
                  <c:v>4.7E-2</c:v>
                </c:pt>
                <c:pt idx="1">
                  <c:v>4.2000000000000003E-2</c:v>
                </c:pt>
                <c:pt idx="2">
                  <c:v>4.5999999999999999E-2</c:v>
                </c:pt>
                <c:pt idx="3">
                  <c:v>3.9E-2</c:v>
                </c:pt>
                <c:pt idx="4">
                  <c:v>0.24099999999999999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4.3140000000000001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9-488D-A98F-DA9CA10B2F48}"/>
            </c:ext>
          </c:extLst>
        </c:ser>
        <c:ser>
          <c:idx val="2"/>
          <c:order val="2"/>
          <c:tx>
            <c:strRef>
              <c:f>'2023'!$A$42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3.0000000000000001E-3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79-488D-A98F-DA9CA10B2F48}"/>
            </c:ext>
          </c:extLst>
        </c:ser>
        <c:ser>
          <c:idx val="3"/>
          <c:order val="3"/>
          <c:tx>
            <c:strRef>
              <c:f>'2023'!$A$43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7-48CE-925D-33B963A9FE39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E7-48CE-925D-33B963A9F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'2023'!$B$43:$M$43</c:f>
              <c:numCache>
                <c:formatCode>#,##0</c:formatCode>
                <c:ptCount val="12"/>
                <c:pt idx="0">
                  <c:v>274.90899999999999</c:v>
                </c:pt>
                <c:pt idx="1">
                  <c:v>197.78399999999999</c:v>
                </c:pt>
                <c:pt idx="2">
                  <c:v>251.95699999999999</c:v>
                </c:pt>
                <c:pt idx="3">
                  <c:v>343.66399999999999</c:v>
                </c:pt>
                <c:pt idx="4">
                  <c:v>292.02800000000002</c:v>
                </c:pt>
                <c:pt idx="5">
                  <c:v>302.00799999999998</c:v>
                </c:pt>
                <c:pt idx="6">
                  <c:v>293.62299999999999</c:v>
                </c:pt>
                <c:pt idx="7">
                  <c:v>370.98099999999999</c:v>
                </c:pt>
                <c:pt idx="8">
                  <c:v>396.02199999999999</c:v>
                </c:pt>
                <c:pt idx="9">
                  <c:v>417.71300000000002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79-488D-A98F-DA9CA10B2F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'2023'!$B$44:$M$44</c:f>
              <c:numCache>
                <c:formatCode>#,##0</c:formatCode>
                <c:ptCount val="12"/>
                <c:pt idx="0">
                  <c:v>29.736000000000001</c:v>
                </c:pt>
                <c:pt idx="1">
                  <c:v>26.082999999999998</c:v>
                </c:pt>
                <c:pt idx="2">
                  <c:v>28.196999999999999</c:v>
                </c:pt>
                <c:pt idx="3">
                  <c:v>22.324999999999999</c:v>
                </c:pt>
                <c:pt idx="4">
                  <c:v>26.733000000000001</c:v>
                </c:pt>
                <c:pt idx="5">
                  <c:v>22.428999999999998</c:v>
                </c:pt>
                <c:pt idx="6">
                  <c:v>23.838999999999999</c:v>
                </c:pt>
                <c:pt idx="7">
                  <c:v>22.608000000000001</c:v>
                </c:pt>
                <c:pt idx="8">
                  <c:v>26.603999999999999</c:v>
                </c:pt>
                <c:pt idx="9">
                  <c:v>26.533999999999999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6-4722-AE3B-785D56D7739A}"/>
            </c:ext>
          </c:extLst>
        </c:ser>
        <c:ser>
          <c:idx val="1"/>
          <c:order val="1"/>
          <c:tx>
            <c:strRef>
              <c:f>'2023'!$A$45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7F-4954-8F1D-2E526EAC6D8D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7F-4954-8F1D-2E526EAC6D8D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F-4954-8F1D-2E526EAC6D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'2023'!$B$45:$M$45</c:f>
              <c:numCache>
                <c:formatCode>#,##0</c:formatCode>
                <c:ptCount val="12"/>
                <c:pt idx="0">
                  <c:v>95.146000000000001</c:v>
                </c:pt>
                <c:pt idx="1">
                  <c:v>157.779</c:v>
                </c:pt>
                <c:pt idx="2">
                  <c:v>137.84899999999999</c:v>
                </c:pt>
                <c:pt idx="3">
                  <c:v>190.78</c:v>
                </c:pt>
                <c:pt idx="4">
                  <c:v>159.702</c:v>
                </c:pt>
                <c:pt idx="5">
                  <c:v>171.9</c:v>
                </c:pt>
                <c:pt idx="6">
                  <c:v>171.55199999999999</c:v>
                </c:pt>
                <c:pt idx="7">
                  <c:v>144.52199999999999</c:v>
                </c:pt>
                <c:pt idx="8">
                  <c:v>174.46100000000001</c:v>
                </c:pt>
                <c:pt idx="9">
                  <c:v>134.88399999999999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C6-4722-AE3B-785D56D7739A}"/>
            </c:ext>
          </c:extLst>
        </c:ser>
        <c:ser>
          <c:idx val="2"/>
          <c:order val="2"/>
          <c:tx>
            <c:strRef>
              <c:f>'2023'!$A$46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'2023'!$B$46:$M$46</c:f>
              <c:numCache>
                <c:formatCode>#,##0</c:formatCode>
                <c:ptCount val="12"/>
                <c:pt idx="0">
                  <c:v>7.0659999999999998</c:v>
                </c:pt>
                <c:pt idx="1">
                  <c:v>10.742000000000001</c:v>
                </c:pt>
                <c:pt idx="2">
                  <c:v>12.987</c:v>
                </c:pt>
                <c:pt idx="3">
                  <c:v>12.172000000000001</c:v>
                </c:pt>
                <c:pt idx="4">
                  <c:v>10.56</c:v>
                </c:pt>
                <c:pt idx="5">
                  <c:v>8.4510000000000005</c:v>
                </c:pt>
                <c:pt idx="6">
                  <c:v>12.999000000000001</c:v>
                </c:pt>
                <c:pt idx="7">
                  <c:v>7.8109999999999999</c:v>
                </c:pt>
                <c:pt idx="8">
                  <c:v>10.371</c:v>
                </c:pt>
                <c:pt idx="9">
                  <c:v>9.3849999999999998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C6-4722-AE3B-785D56D7739A}"/>
            </c:ext>
          </c:extLst>
        </c:ser>
        <c:ser>
          <c:idx val="3"/>
          <c:order val="3"/>
          <c:tx>
            <c:strRef>
              <c:f>'2023'!$A$47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'2023'!$B$47:$M$47</c:f>
              <c:numCache>
                <c:formatCode>#,##0</c:formatCode>
                <c:ptCount val="12"/>
                <c:pt idx="0">
                  <c:v>5.9109999999999996</c:v>
                </c:pt>
                <c:pt idx="1">
                  <c:v>5.7359999999999998</c:v>
                </c:pt>
                <c:pt idx="2">
                  <c:v>5.5119999999999996</c:v>
                </c:pt>
                <c:pt idx="3">
                  <c:v>6.5540000000000003</c:v>
                </c:pt>
                <c:pt idx="4">
                  <c:v>6.5720000000000001</c:v>
                </c:pt>
                <c:pt idx="5">
                  <c:v>5.3689999999999998</c:v>
                </c:pt>
                <c:pt idx="6">
                  <c:v>5.0540000000000003</c:v>
                </c:pt>
                <c:pt idx="7">
                  <c:v>5.0709999999999997</c:v>
                </c:pt>
                <c:pt idx="8">
                  <c:v>5.2110000000000003</c:v>
                </c:pt>
                <c:pt idx="9">
                  <c:v>6.125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C6-4722-AE3B-785D56D7739A}"/>
            </c:ext>
          </c:extLst>
        </c:ser>
        <c:ser>
          <c:idx val="4"/>
          <c:order val="4"/>
          <c:tx>
            <c:strRef>
              <c:f>'2023'!$A$49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7F-4954-8F1D-2E526EAC6D8D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F-4954-8F1D-2E526EAC6D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'2023'!$B$49:$M$49</c:f>
              <c:numCache>
                <c:formatCode>#,##0</c:formatCode>
                <c:ptCount val="12"/>
                <c:pt idx="0">
                  <c:v>178.7340000000022</c:v>
                </c:pt>
                <c:pt idx="1">
                  <c:v>110.85200000000003</c:v>
                </c:pt>
                <c:pt idx="2">
                  <c:v>187.20700000000002</c:v>
                </c:pt>
                <c:pt idx="3">
                  <c:v>67.786000000000968</c:v>
                </c:pt>
                <c:pt idx="4">
                  <c:v>94.30699999999797</c:v>
                </c:pt>
                <c:pt idx="5">
                  <c:v>11.461999999999989</c:v>
                </c:pt>
                <c:pt idx="6">
                  <c:v>186.27600000000166</c:v>
                </c:pt>
                <c:pt idx="7">
                  <c:v>160.69199999999819</c:v>
                </c:pt>
                <c:pt idx="8">
                  <c:v>126.13699999999997</c:v>
                </c:pt>
                <c:pt idx="9">
                  <c:v>195.56900000000005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C6-4722-AE3B-785D56D77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'2023'!$A$48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3D-45F2-9F1D-1C7F2AD8734A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3D-45F2-9F1D-1C7F2AD8734A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3D-45F2-9F1D-1C7F2AD8734A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3D-45F2-9F1D-1C7F2AD8734A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3D-45F2-9F1D-1C7F2AD8734A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3D-45F2-9F1D-1C7F2AD8734A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82-493C-A0BF-183BC28EED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'2023'!$B$48:$M$48</c:f>
              <c:numCache>
                <c:formatCode>#,##0</c:formatCode>
                <c:ptCount val="12"/>
                <c:pt idx="0">
                  <c:v>303.00900000000001</c:v>
                </c:pt>
                <c:pt idx="1">
                  <c:v>264.565</c:v>
                </c:pt>
                <c:pt idx="2">
                  <c:v>326.91699999999997</c:v>
                </c:pt>
                <c:pt idx="3">
                  <c:v>293.21600000000001</c:v>
                </c:pt>
                <c:pt idx="4">
                  <c:v>282.34800000000001</c:v>
                </c:pt>
                <c:pt idx="5">
                  <c:v>248.87799999999999</c:v>
                </c:pt>
                <c:pt idx="6">
                  <c:v>296.68700000000001</c:v>
                </c:pt>
                <c:pt idx="7">
                  <c:v>300.25900000000001</c:v>
                </c:pt>
                <c:pt idx="8">
                  <c:v>296.303</c:v>
                </c:pt>
                <c:pt idx="9">
                  <c:v>307.28100000000001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3D-45F2-9F1D-1C7F2AD87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OCTUBRE 2023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'2023'!$AU$6:$AU$8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'2023'!$AV$6:$AV$8</c:f>
              <c:numCache>
                <c:formatCode>0.0</c:formatCode>
                <c:ptCount val="3"/>
                <c:pt idx="0">
                  <c:v>5304.4579999999996</c:v>
                </c:pt>
                <c:pt idx="1">
                  <c:v>5139.7179999999998</c:v>
                </c:pt>
                <c:pt idx="2">
                  <c:v>5132.0770000000002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8-42AB-939A-15DA7FB0A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OCTUBRE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37C-4375-94E7-5E0730705D31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7C-4375-94E7-5E0730705D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'2023'!$AU$11:$AU$15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'2023'!$AV$11:$AV$15</c:f>
              <c:numCache>
                <c:formatCode>0.0</c:formatCode>
                <c:ptCount val="5"/>
                <c:pt idx="0">
                  <c:v>43.296000000000276</c:v>
                </c:pt>
                <c:pt idx="1">
                  <c:v>176.79</c:v>
                </c:pt>
                <c:pt idx="2">
                  <c:v>65.545000000000016</c:v>
                </c:pt>
                <c:pt idx="3">
                  <c:v>34.192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C-4375-94E7-5E0730705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OCTUBRE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'2023'!$AV$17:$AV$50</c:f>
              <c:numCache>
                <c:formatCode>0.0</c:formatCode>
                <c:ptCount val="34"/>
                <c:pt idx="0">
                  <c:v>169.50700000000001</c:v>
                </c:pt>
                <c:pt idx="1">
                  <c:v>0</c:v>
                </c:pt>
                <c:pt idx="2">
                  <c:v>91.206999999999994</c:v>
                </c:pt>
                <c:pt idx="3">
                  <c:v>8.9939999999999998</c:v>
                </c:pt>
                <c:pt idx="4">
                  <c:v>127.343</c:v>
                </c:pt>
                <c:pt idx="5">
                  <c:v>0</c:v>
                </c:pt>
                <c:pt idx="6">
                  <c:v>18.103999999999999</c:v>
                </c:pt>
                <c:pt idx="7">
                  <c:v>4.4180000000000001</c:v>
                </c:pt>
                <c:pt idx="8">
                  <c:v>0</c:v>
                </c:pt>
                <c:pt idx="9">
                  <c:v>715.875</c:v>
                </c:pt>
                <c:pt idx="10">
                  <c:v>0</c:v>
                </c:pt>
                <c:pt idx="11">
                  <c:v>0</c:v>
                </c:pt>
                <c:pt idx="12">
                  <c:v>16.318999999999999</c:v>
                </c:pt>
                <c:pt idx="13">
                  <c:v>0</c:v>
                </c:pt>
                <c:pt idx="14">
                  <c:v>845.46699999999998</c:v>
                </c:pt>
                <c:pt idx="15">
                  <c:v>0</c:v>
                </c:pt>
                <c:pt idx="16">
                  <c:v>118.45699999999999</c:v>
                </c:pt>
                <c:pt idx="17">
                  <c:v>17.536000000000001</c:v>
                </c:pt>
                <c:pt idx="18">
                  <c:v>11.677</c:v>
                </c:pt>
                <c:pt idx="19">
                  <c:v>28.199000000000002</c:v>
                </c:pt>
                <c:pt idx="20">
                  <c:v>0</c:v>
                </c:pt>
                <c:pt idx="21">
                  <c:v>1837.307</c:v>
                </c:pt>
                <c:pt idx="22">
                  <c:v>19.861999999999998</c:v>
                </c:pt>
                <c:pt idx="23">
                  <c:v>0</c:v>
                </c:pt>
                <c:pt idx="24">
                  <c:v>0</c:v>
                </c:pt>
                <c:pt idx="25">
                  <c:v>4.3140000000000001</c:v>
                </c:pt>
                <c:pt idx="26">
                  <c:v>0</c:v>
                </c:pt>
                <c:pt idx="27">
                  <c:v>417.71300000000002</c:v>
                </c:pt>
                <c:pt idx="28">
                  <c:v>26.533999999999999</c:v>
                </c:pt>
                <c:pt idx="29">
                  <c:v>134.88399999999999</c:v>
                </c:pt>
                <c:pt idx="30">
                  <c:v>9.3849999999999998</c:v>
                </c:pt>
                <c:pt idx="31">
                  <c:v>6.125</c:v>
                </c:pt>
                <c:pt idx="32">
                  <c:v>307.28100000000001</c:v>
                </c:pt>
                <c:pt idx="33" formatCode="General">
                  <c:v>195.56900000000005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4-4582-AFF5-1622FFC4B4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'2023'!$B$16:$M$16</c:f>
              <c:numCache>
                <c:formatCode>#,##0</c:formatCode>
                <c:ptCount val="12"/>
                <c:pt idx="0">
                  <c:v>231.304</c:v>
                </c:pt>
                <c:pt idx="1">
                  <c:v>169.92599999999999</c:v>
                </c:pt>
                <c:pt idx="2">
                  <c:v>159.54599999999999</c:v>
                </c:pt>
                <c:pt idx="3">
                  <c:v>175.762</c:v>
                </c:pt>
                <c:pt idx="4">
                  <c:v>166.983</c:v>
                </c:pt>
                <c:pt idx="5">
                  <c:v>176.08099999999999</c:v>
                </c:pt>
                <c:pt idx="6">
                  <c:v>183.81200000000001</c:v>
                </c:pt>
                <c:pt idx="7">
                  <c:v>174.822</c:v>
                </c:pt>
                <c:pt idx="8">
                  <c:v>173.73699999999999</c:v>
                </c:pt>
                <c:pt idx="9">
                  <c:v>169.50700000000001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9-442C-A6CE-E12744E5B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2EB-43E6-916D-1CA44B19C5E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'2023'!$B$15:$M$15</c:f>
              <c:numCache>
                <c:formatCode>#,##0</c:formatCode>
                <c:ptCount val="12"/>
                <c:pt idx="0">
                  <c:v>5269.3350000000009</c:v>
                </c:pt>
                <c:pt idx="1">
                  <c:v>4556.8129999999992</c:v>
                </c:pt>
                <c:pt idx="2">
                  <c:v>4842.3370000000004</c:v>
                </c:pt>
                <c:pt idx="3">
                  <c:v>5208.5810000000001</c:v>
                </c:pt>
                <c:pt idx="4">
                  <c:v>5021.5209999999997</c:v>
                </c:pt>
                <c:pt idx="5">
                  <c:v>4887.6849999999995</c:v>
                </c:pt>
                <c:pt idx="6">
                  <c:v>5299.451</c:v>
                </c:pt>
                <c:pt idx="7">
                  <c:v>5485.686999999999</c:v>
                </c:pt>
                <c:pt idx="8">
                  <c:v>5333.7169999999996</c:v>
                </c:pt>
                <c:pt idx="9">
                  <c:v>5132.0770000000002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B-43E6-916D-1CA44B19C5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Evolución_Anual!$B$2:$L$2</c:f>
              <c:numCache>
                <c:formatCode>0.00</c:formatCode>
                <c:ptCount val="11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Evolución_Anual!$B$3:$L$3</c:f>
              <c:numCache>
                <c:formatCode>0.00</c:formatCode>
                <c:ptCount val="11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5B8-49BE-AFD1-F5D3A2E5AB1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'2023'!$B$6:$M$6</c:f>
              <c:numCache>
                <c:formatCode>#,##0</c:formatCode>
                <c:ptCount val="12"/>
                <c:pt idx="0">
                  <c:v>5487.3059999999996</c:v>
                </c:pt>
                <c:pt idx="1">
                  <c:v>4809.8819999999996</c:v>
                </c:pt>
                <c:pt idx="2">
                  <c:v>4692.058</c:v>
                </c:pt>
                <c:pt idx="3">
                  <c:v>5619.31</c:v>
                </c:pt>
                <c:pt idx="4">
                  <c:v>4796.7870000000003</c:v>
                </c:pt>
                <c:pt idx="5">
                  <c:v>4856.4560000000001</c:v>
                </c:pt>
                <c:pt idx="6">
                  <c:v>5529.4340000000002</c:v>
                </c:pt>
                <c:pt idx="7">
                  <c:v>5484.9889999999996</c:v>
                </c:pt>
                <c:pt idx="8">
                  <c:v>5087.9759999999997</c:v>
                </c:pt>
                <c:pt idx="9">
                  <c:v>5304.4579999999996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8-49BE-AFD1-F5D3A2E5AB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Evolución_Anual!$B$25:$L$25</c:f>
              <c:numCache>
                <c:formatCode>0.00</c:formatCode>
                <c:ptCount val="11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Evolución_Anual!$B$26:$L$26</c:f>
              <c:numCache>
                <c:formatCode>0.00</c:formatCode>
                <c:ptCount val="11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Evolución_Anual!$B$27:$L$27</c:f>
              <c:numCache>
                <c:formatCode>0.00</c:formatCode>
                <c:ptCount val="11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Evolución_Anual!$B$13:$L$13</c:f>
              <c:numCache>
                <c:formatCode>0.00</c:formatCode>
                <c:ptCount val="11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Evolución_Anual!$B$14:$L$14</c:f>
              <c:numCache>
                <c:formatCode>0.00</c:formatCode>
                <c:ptCount val="11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Evolución_Anual!$B$15:$L$15</c:f>
              <c:numCache>
                <c:formatCode>0.00</c:formatCode>
                <c:ptCount val="11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Evolución_Anual!$B$16:$L$16</c:f>
              <c:numCache>
                <c:formatCode>0.00</c:formatCode>
                <c:ptCount val="11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Evolución_Anual!$B$22:$L$22</c:f>
              <c:numCache>
                <c:formatCode>0.00</c:formatCode>
                <c:ptCount val="11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Evolución_Anual!$B$28:$L$28</c:f>
              <c:numCache>
                <c:formatCode>0.00</c:formatCode>
                <c:ptCount val="11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Evolución_Anual!$B$29:$L$29</c:f>
              <c:numCache>
                <c:formatCode>0.00</c:formatCode>
                <c:ptCount val="11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Evolución_Anual!$B$30:$L$30</c:f>
              <c:numCache>
                <c:formatCode>0.00</c:formatCode>
                <c:ptCount val="11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(Evolución_Anual!$B$31,Evolución_Anual!$B$31:$L$31)</c:f>
              <c:numCache>
                <c:formatCode>#,##0</c:formatCode>
                <c:ptCount val="12"/>
                <c:pt idx="0">
                  <c:v>46.366999999999997</c:v>
                </c:pt>
                <c:pt idx="1">
                  <c:v>46.366999999999997</c:v>
                </c:pt>
                <c:pt idx="2" formatCode="0.00">
                  <c:v>24.143999999999998</c:v>
                </c:pt>
                <c:pt idx="3" formatCode="0.00">
                  <c:v>221.791</c:v>
                </c:pt>
                <c:pt idx="4">
                  <c:v>122.66900000000001</c:v>
                </c:pt>
                <c:pt idx="5">
                  <c:v>84.996999999999986</c:v>
                </c:pt>
                <c:pt idx="6">
                  <c:v>121.81199999999998</c:v>
                </c:pt>
                <c:pt idx="7">
                  <c:v>53.104000000000006</c:v>
                </c:pt>
                <c:pt idx="8">
                  <c:v>75.085000000000008</c:v>
                </c:pt>
                <c:pt idx="9">
                  <c:v>63.033000000000001</c:v>
                </c:pt>
                <c:pt idx="10">
                  <c:v>44.867999999999995</c:v>
                </c:pt>
                <c:pt idx="11" formatCode="0">
                  <c:v>49.397000000000006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Evolución_Anual!$B$32:$L$32</c:f>
              <c:numCache>
                <c:formatCode>0.00</c:formatCode>
                <c:ptCount val="11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Evolución_Anual!$B$33:$L$33</c:f>
              <c:numCache>
                <c:formatCode>0.00</c:formatCode>
                <c:ptCount val="11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Evolución_Anual!$B$34:$L$34</c:f>
              <c:numCache>
                <c:formatCode>0.00</c:formatCode>
                <c:ptCount val="11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Evolución_Anual!$B$37:$L$37</c:f>
              <c:numCache>
                <c:formatCode>0.00</c:formatCode>
                <c:ptCount val="11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Evolución_Anual!$B$38:$L$38</c:f>
              <c:numCache>
                <c:formatCode>0.00</c:formatCode>
                <c:ptCount val="11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Evolución_Anual!$B$39:$L$39</c:f>
              <c:numCache>
                <c:formatCode>0.00</c:formatCode>
                <c:ptCount val="11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Evolución_Anual!$B$40:$L$40</c:f>
              <c:numCache>
                <c:formatCode>0.00</c:formatCode>
                <c:ptCount val="11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Evolución_Anual!$B$45:$L$45</c:f>
              <c:numCache>
                <c:formatCode>0.00</c:formatCode>
                <c:ptCount val="11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43-4F8E-840F-F2E6E78452F8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43-4F8E-840F-F2E6E78452F8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43-4F8E-840F-F2E6E78452F8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'2023'!$B$7:$M$7</c:f>
              <c:numCache>
                <c:formatCode>#,##0</c:formatCode>
                <c:ptCount val="12"/>
                <c:pt idx="0">
                  <c:v>-124.13900000000012</c:v>
                </c:pt>
                <c:pt idx="1">
                  <c:v>167.08700000000044</c:v>
                </c:pt>
                <c:pt idx="2">
                  <c:v>125.90899999999965</c:v>
                </c:pt>
                <c:pt idx="3">
                  <c:v>-114.81800000000021</c:v>
                </c:pt>
                <c:pt idx="4">
                  <c:v>-20.287000000000262</c:v>
                </c:pt>
                <c:pt idx="5">
                  <c:v>-79.319999999999709</c:v>
                </c:pt>
                <c:pt idx="6">
                  <c:v>-17.440999999999804</c:v>
                </c:pt>
                <c:pt idx="7">
                  <c:v>155.89900000000034</c:v>
                </c:pt>
                <c:pt idx="8">
                  <c:v>-163.60899999999947</c:v>
                </c:pt>
                <c:pt idx="9">
                  <c:v>43.296000000000276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A-449A-B39A-A68AFEB31C9B}"/>
            </c:ext>
          </c:extLst>
        </c:ser>
        <c:ser>
          <c:idx val="1"/>
          <c:order val="1"/>
          <c:tx>
            <c:strRef>
              <c:f>'2023'!$A$8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43-4F8E-840F-F2E6E78452F8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43-4F8E-840F-F2E6E78452F8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43-4F8E-840F-F2E6E78452F8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'2023'!$B$8:$M$8</c:f>
              <c:numCache>
                <c:formatCode>#,##0</c:formatCode>
                <c:ptCount val="12"/>
                <c:pt idx="0">
                  <c:v>133.142</c:v>
                </c:pt>
                <c:pt idx="1">
                  <c:v>252.18</c:v>
                </c:pt>
                <c:pt idx="2">
                  <c:v>-243.44499999999999</c:v>
                </c:pt>
                <c:pt idx="3">
                  <c:v>407.89299999999997</c:v>
                </c:pt>
                <c:pt idx="4">
                  <c:v>-200.58600000000001</c:v>
                </c:pt>
                <c:pt idx="5">
                  <c:v>24.064</c:v>
                </c:pt>
                <c:pt idx="6">
                  <c:v>33.225999999999999</c:v>
                </c:pt>
                <c:pt idx="7">
                  <c:v>93.311999999999998</c:v>
                </c:pt>
                <c:pt idx="8">
                  <c:v>-320.77199999999999</c:v>
                </c:pt>
                <c:pt idx="9">
                  <c:v>176.79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A-449A-B39A-A68AFEB31C9B}"/>
            </c:ext>
          </c:extLst>
        </c:ser>
        <c:ser>
          <c:idx val="2"/>
          <c:order val="2"/>
          <c:tx>
            <c:strRef>
              <c:f>'2023'!$A$9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6A-449A-B39A-A68AFEB31C9B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43-4F8E-840F-F2E6E78452F8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43-4F8E-840F-F2E6E78452F8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43-4F8E-840F-F2E6E78452F8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'2023'!$B$9:$M$9</c:f>
              <c:numCache>
                <c:formatCode>#,##0</c:formatCode>
                <c:ptCount val="12"/>
                <c:pt idx="0">
                  <c:v>-26.078999999999994</c:v>
                </c:pt>
                <c:pt idx="1">
                  <c:v>119.44900000000001</c:v>
                </c:pt>
                <c:pt idx="2">
                  <c:v>141.161</c:v>
                </c:pt>
                <c:pt idx="3">
                  <c:v>-122.75399999999996</c:v>
                </c:pt>
                <c:pt idx="4">
                  <c:v>49.684000000000026</c:v>
                </c:pt>
                <c:pt idx="5">
                  <c:v>9.9429999999999978</c:v>
                </c:pt>
                <c:pt idx="6">
                  <c:v>8.9040000000000035</c:v>
                </c:pt>
                <c:pt idx="7">
                  <c:v>165.02799999999996</c:v>
                </c:pt>
                <c:pt idx="8">
                  <c:v>-96.096000000000004</c:v>
                </c:pt>
                <c:pt idx="9">
                  <c:v>65.545000000000016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A-449A-B39A-A68AFEB31C9B}"/>
            </c:ext>
          </c:extLst>
        </c:ser>
        <c:ser>
          <c:idx val="3"/>
          <c:order val="3"/>
          <c:tx>
            <c:strRef>
              <c:f>'2023'!$A$10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43-4F8E-840F-F2E6E78452F8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'2023'!$B$10:$M$10</c:f>
              <c:numCache>
                <c:formatCode>#,##0</c:formatCode>
                <c:ptCount val="12"/>
                <c:pt idx="0">
                  <c:v>107.117</c:v>
                </c:pt>
                <c:pt idx="1">
                  <c:v>21.338999999999999</c:v>
                </c:pt>
                <c:pt idx="2">
                  <c:v>22.436</c:v>
                </c:pt>
                <c:pt idx="3">
                  <c:v>39.403999999999996</c:v>
                </c:pt>
                <c:pt idx="4">
                  <c:v>124.274</c:v>
                </c:pt>
                <c:pt idx="5">
                  <c:v>187.14800000000002</c:v>
                </c:pt>
                <c:pt idx="6">
                  <c:v>36.851999999999997</c:v>
                </c:pt>
                <c:pt idx="7">
                  <c:v>158.27600000000001</c:v>
                </c:pt>
                <c:pt idx="8">
                  <c:v>79.831000000000003</c:v>
                </c:pt>
                <c:pt idx="9">
                  <c:v>34.192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6A-449A-B39A-A68AFEB31C9B}"/>
            </c:ext>
          </c:extLst>
        </c:ser>
        <c:ser>
          <c:idx val="4"/>
          <c:order val="4"/>
          <c:tx>
            <c:strRef>
              <c:f>'2023'!$A$11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43-4F8E-840F-F2E6E7845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6A-449A-B39A-A68AFEB31C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Evolución_Anual!$B$41:$L$41</c:f>
              <c:numCache>
                <c:formatCode>0.00</c:formatCode>
                <c:ptCount val="11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Evolución_Anual!$B$42:$L$42</c:f>
              <c:numCache>
                <c:formatCode>0.00</c:formatCode>
                <c:ptCount val="11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Evolución_Anual!$B$43:$L$43</c:f>
              <c:numCache>
                <c:formatCode>0.00</c:formatCode>
                <c:ptCount val="11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Evolución_Anual!$B$44:$L$44</c:f>
              <c:numCache>
                <c:formatCode>0.00</c:formatCode>
                <c:ptCount val="11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Evolución_Anual!$B$46:$L$46</c:f>
              <c:numCache>
                <c:formatCode>0.00</c:formatCode>
                <c:ptCount val="11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Evolución_Anual!$B$17:$L$17</c:f>
              <c:numCache>
                <c:formatCode>0.00</c:formatCode>
                <c:ptCount val="11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Evolución_Anual!$B$18:$L$18</c:f>
              <c:numCache>
                <c:formatCode>0.00</c:formatCode>
                <c:ptCount val="11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Evolución_Anual!$B$19:$L$19</c:f>
              <c:numCache>
                <c:formatCode>0.00</c:formatCode>
                <c:ptCount val="11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Evolución_Anual!$B$20:$L$20</c:f>
              <c:numCache>
                <c:formatCode>0.00</c:formatCode>
                <c:ptCount val="11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Evolución_Anual!$B$21:$L$21</c:f>
              <c:numCache>
                <c:formatCode>0.00</c:formatCode>
                <c:ptCount val="11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Ref>
              <c:f>Evolución_Anual!$B$9:$L$9</c:f>
              <c:numCache>
                <c:formatCode>0.00</c:formatCode>
                <c:ptCount val="11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Lit>
              <c:formatCode>General</c:formatCode>
              <c:ptCount val="11"/>
              <c:pt idx="0">
                <c:v>59123</c:v>
              </c:pt>
              <c:pt idx="1">
                <c:v>58143</c:v>
              </c:pt>
              <c:pt idx="2">
                <c:v>59022</c:v>
              </c:pt>
              <c:pt idx="3">
                <c:v>65031</c:v>
              </c:pt>
              <c:pt idx="4">
                <c:v>64988</c:v>
              </c:pt>
              <c:pt idx="5">
                <c:v>66038</c:v>
              </c:pt>
              <c:pt idx="6">
                <c:v>67894</c:v>
              </c:pt>
              <c:pt idx="7">
                <c:v>65648</c:v>
              </c:pt>
              <c:pt idx="8">
                <c:v>55153</c:v>
              </c:pt>
              <c:pt idx="9">
                <c:v>56922.123999999902</c:v>
              </c:pt>
              <c:pt idx="10">
                <c:v>63393.949999999903</c:v>
              </c:pt>
            </c:numLit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Lit>
              <c:formatCode>General</c:formatCode>
              <c:ptCount val="11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</c:numLit>
          </c:cat>
          <c:val>
            <c:numRef>
              <c:f>Evolución_Anual!$B$11:$L$11</c:f>
              <c:numCache>
                <c:formatCode>0.00</c:formatCode>
                <c:ptCount val="11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Evolución_Anual!$B$1:$L$1</c:f>
              <c:numCache>
                <c:formatCode>0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Evolución_Anual!$B$12:$L$12</c:f>
              <c:numCache>
                <c:formatCode>0.00</c:formatCode>
                <c:ptCount val="11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OCTUBRE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'2023'!$AU$6:$AU$8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'2023'!$AV$6:$AV$8</c:f>
              <c:numCache>
                <c:formatCode>0.0</c:formatCode>
                <c:ptCount val="3"/>
                <c:pt idx="0">
                  <c:v>5304.4579999999996</c:v>
                </c:pt>
                <c:pt idx="1">
                  <c:v>5139.7179999999998</c:v>
                </c:pt>
                <c:pt idx="2">
                  <c:v>5132.0770000000002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F-4A6D-8908-A288F82BD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OCTUBRE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7C9-4766-97D6-48B08579E0D5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C9-4766-97D6-48B08579E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'2023'!$AU$11:$AU$15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'2023'!$AV$11:$AV$15</c:f>
              <c:numCache>
                <c:formatCode>0.0</c:formatCode>
                <c:ptCount val="5"/>
                <c:pt idx="0">
                  <c:v>43.296000000000276</c:v>
                </c:pt>
                <c:pt idx="1">
                  <c:v>176.79</c:v>
                </c:pt>
                <c:pt idx="2">
                  <c:v>65.545000000000016</c:v>
                </c:pt>
                <c:pt idx="3">
                  <c:v>34.192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9-4766-97D6-48B08579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'2023'!$AV$3</c:f>
          <c:strCache>
            <c:ptCount val="1"/>
            <c:pt idx="0">
              <c:v>OCTUBRE 2023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'2023'!$AV$17:$AV$50</c:f>
              <c:numCache>
                <c:formatCode>0.0</c:formatCode>
                <c:ptCount val="34"/>
                <c:pt idx="0">
                  <c:v>169.50700000000001</c:v>
                </c:pt>
                <c:pt idx="1">
                  <c:v>0</c:v>
                </c:pt>
                <c:pt idx="2">
                  <c:v>91.206999999999994</c:v>
                </c:pt>
                <c:pt idx="3">
                  <c:v>8.9939999999999998</c:v>
                </c:pt>
                <c:pt idx="4">
                  <c:v>127.343</c:v>
                </c:pt>
                <c:pt idx="5">
                  <c:v>0</c:v>
                </c:pt>
                <c:pt idx="6">
                  <c:v>18.103999999999999</c:v>
                </c:pt>
                <c:pt idx="7">
                  <c:v>4.4180000000000001</c:v>
                </c:pt>
                <c:pt idx="8">
                  <c:v>0</c:v>
                </c:pt>
                <c:pt idx="9">
                  <c:v>715.875</c:v>
                </c:pt>
                <c:pt idx="10">
                  <c:v>0</c:v>
                </c:pt>
                <c:pt idx="11">
                  <c:v>0</c:v>
                </c:pt>
                <c:pt idx="12">
                  <c:v>16.318999999999999</c:v>
                </c:pt>
                <c:pt idx="13">
                  <c:v>0</c:v>
                </c:pt>
                <c:pt idx="14">
                  <c:v>845.46699999999998</c:v>
                </c:pt>
                <c:pt idx="15">
                  <c:v>0</c:v>
                </c:pt>
                <c:pt idx="16">
                  <c:v>118.45699999999999</c:v>
                </c:pt>
                <c:pt idx="17">
                  <c:v>17.536000000000001</c:v>
                </c:pt>
                <c:pt idx="18">
                  <c:v>11.677</c:v>
                </c:pt>
                <c:pt idx="19">
                  <c:v>28.199000000000002</c:v>
                </c:pt>
                <c:pt idx="20">
                  <c:v>0</c:v>
                </c:pt>
                <c:pt idx="21">
                  <c:v>1837.307</c:v>
                </c:pt>
                <c:pt idx="22">
                  <c:v>19.861999999999998</c:v>
                </c:pt>
                <c:pt idx="23">
                  <c:v>0</c:v>
                </c:pt>
                <c:pt idx="24">
                  <c:v>0</c:v>
                </c:pt>
                <c:pt idx="25">
                  <c:v>4.3140000000000001</c:v>
                </c:pt>
                <c:pt idx="26">
                  <c:v>0</c:v>
                </c:pt>
                <c:pt idx="27">
                  <c:v>417.71300000000002</c:v>
                </c:pt>
                <c:pt idx="28">
                  <c:v>26.533999999999999</c:v>
                </c:pt>
                <c:pt idx="29">
                  <c:v>134.88399999999999</c:v>
                </c:pt>
                <c:pt idx="30">
                  <c:v>9.3849999999999998</c:v>
                </c:pt>
                <c:pt idx="31">
                  <c:v>6.125</c:v>
                </c:pt>
                <c:pt idx="32">
                  <c:v>307.28100000000001</c:v>
                </c:pt>
                <c:pt idx="33" formatCode="General">
                  <c:v>195.56900000000005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C-432E-9393-D2E75BCBB1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'2023'!$A$14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'2023'!$B$14:$M$14</c:f>
              <c:numCache>
                <c:formatCode>#,##0</c:formatCode>
                <c:ptCount val="12"/>
                <c:pt idx="0">
                  <c:v>93.924999999998363</c:v>
                </c:pt>
                <c:pt idx="1">
                  <c:v>69.941000000000713</c:v>
                </c:pt>
                <c:pt idx="2">
                  <c:v>100.42199999999866</c:v>
                </c:pt>
                <c:pt idx="3">
                  <c:v>50.175999999999476</c:v>
                </c:pt>
                <c:pt idx="4">
                  <c:v>30.166000000001077</c:v>
                </c:pt>
                <c:pt idx="5">
                  <c:v>42.652000000001863</c:v>
                </c:pt>
                <c:pt idx="6">
                  <c:v>207.33399999999983</c:v>
                </c:pt>
                <c:pt idx="7">
                  <c:v>55.220000000000255</c:v>
                </c:pt>
                <c:pt idx="8">
                  <c:v>87.34900000000107</c:v>
                </c:pt>
                <c:pt idx="9">
                  <c:v>7.6409999999996217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73-4C64-B7F7-213CDD032694}"/>
            </c:ext>
          </c:extLst>
        </c:ser>
        <c:ser>
          <c:idx val="1"/>
          <c:order val="1"/>
          <c:tx>
            <c:strRef>
              <c:f>'2023'!$A$13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'2023'!$B$13:$M$13</c:f>
              <c:numCache>
                <c:formatCode>#,##0</c:formatCode>
                <c:ptCount val="12"/>
                <c:pt idx="0">
                  <c:v>5354.2030000000004</c:v>
                </c:pt>
                <c:pt idx="1">
                  <c:v>4557.777</c:v>
                </c:pt>
                <c:pt idx="2">
                  <c:v>4935.5749999999998</c:v>
                </c:pt>
                <c:pt idx="3">
                  <c:v>5211.4170000000004</c:v>
                </c:pt>
                <c:pt idx="4">
                  <c:v>4997.384</c:v>
                </c:pt>
                <c:pt idx="5">
                  <c:v>4832.4520000000002</c:v>
                </c:pt>
                <c:pt idx="6">
                  <c:v>5496.2780000000002</c:v>
                </c:pt>
                <c:pt idx="7">
                  <c:v>5391.76</c:v>
                </c:pt>
                <c:pt idx="8">
                  <c:v>5408.7479999999996</c:v>
                </c:pt>
                <c:pt idx="9">
                  <c:v>5127.7749999999996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73-4C64-B7F7-213CDD03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'2023'!$A$12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273-4C64-B7F7-213CDD0326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'2023'!$B$12:$M$12</c:f>
              <c:numCache>
                <c:formatCode>#,##0</c:formatCode>
                <c:ptCount val="12"/>
                <c:pt idx="0">
                  <c:v>5363.2599999999993</c:v>
                </c:pt>
                <c:pt idx="1">
                  <c:v>4626.7539999999999</c:v>
                </c:pt>
                <c:pt idx="2">
                  <c:v>4942.7589999999991</c:v>
                </c:pt>
                <c:pt idx="3">
                  <c:v>5258.7569999999996</c:v>
                </c:pt>
                <c:pt idx="4">
                  <c:v>5051.6870000000008</c:v>
                </c:pt>
                <c:pt idx="5">
                  <c:v>4930.3370000000004</c:v>
                </c:pt>
                <c:pt idx="6">
                  <c:v>5506.7849999999999</c:v>
                </c:pt>
                <c:pt idx="7">
                  <c:v>5540.9069999999992</c:v>
                </c:pt>
                <c:pt idx="8">
                  <c:v>5421.0660000000007</c:v>
                </c:pt>
                <c:pt idx="9">
                  <c:v>5139.7179999999998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3-4C64-B7F7-213CDD03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585847867752E-2"/>
          <c:y val="0.15000829922915335"/>
          <c:w val="0.87497128952882108"/>
          <c:h val="0.66779293139560159"/>
        </c:manualLayout>
      </c:layout>
      <c:lineChart>
        <c:grouping val="standard"/>
        <c:varyColors val="0"/>
        <c:ser>
          <c:idx val="0"/>
          <c:order val="0"/>
          <c:tx>
            <c:strRef>
              <c:f>'2023'!$A$18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20-4AEE-4E40-8879-D6D3438A74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2-4AEE-4E40-8879-D6D3438A74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24-4AEE-4E40-8879-D6D3438A74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26-4AEE-4E40-8879-D6D3438A74F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28-4AEE-4E40-8879-D6D3438A74FE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AEE-4E40-8879-D6D3438A74FE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9D-44BB-A042-101661F53A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'2023'!$B$18:$M$18</c:f>
              <c:numCache>
                <c:formatCode>#,##0</c:formatCode>
                <c:ptCount val="12"/>
                <c:pt idx="0">
                  <c:v>92.911000000000001</c:v>
                </c:pt>
                <c:pt idx="1">
                  <c:v>85.721000000000004</c:v>
                </c:pt>
                <c:pt idx="2">
                  <c:v>79.081000000000003</c:v>
                </c:pt>
                <c:pt idx="3">
                  <c:v>81.849999999999994</c:v>
                </c:pt>
                <c:pt idx="4">
                  <c:v>88.628</c:v>
                </c:pt>
                <c:pt idx="5">
                  <c:v>67.983999999999995</c:v>
                </c:pt>
                <c:pt idx="6">
                  <c:v>82.361999999999995</c:v>
                </c:pt>
                <c:pt idx="7">
                  <c:v>82.034999999999997</c:v>
                </c:pt>
                <c:pt idx="8">
                  <c:v>73.355999999999995</c:v>
                </c:pt>
                <c:pt idx="9">
                  <c:v>91.206999999999994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4AEE-4E40-8879-D6D3438A74FE}"/>
            </c:ext>
          </c:extLst>
        </c:ser>
        <c:ser>
          <c:idx val="1"/>
          <c:order val="1"/>
          <c:tx>
            <c:strRef>
              <c:f>'2023'!$A$19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'2023'!$B$19:$M$19</c:f>
              <c:numCache>
                <c:formatCode>#,##0</c:formatCode>
                <c:ptCount val="12"/>
                <c:pt idx="0">
                  <c:v>0</c:v>
                </c:pt>
                <c:pt idx="1">
                  <c:v>25.503</c:v>
                </c:pt>
                <c:pt idx="2">
                  <c:v>3.5169999999999959</c:v>
                </c:pt>
                <c:pt idx="3">
                  <c:v>2.1740000000000066</c:v>
                </c:pt>
                <c:pt idx="4">
                  <c:v>5.367999999999995</c:v>
                </c:pt>
                <c:pt idx="5">
                  <c:v>0</c:v>
                </c:pt>
                <c:pt idx="6">
                  <c:v>9.9540000000000077</c:v>
                </c:pt>
                <c:pt idx="7">
                  <c:v>8.9690000000000083</c:v>
                </c:pt>
                <c:pt idx="8">
                  <c:v>0</c:v>
                </c:pt>
                <c:pt idx="9">
                  <c:v>8.9939999999999998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4AEE-4E40-8879-D6D3438A74FE}"/>
            </c:ext>
          </c:extLst>
        </c:ser>
        <c:ser>
          <c:idx val="2"/>
          <c:order val="2"/>
          <c:tx>
            <c:strRef>
              <c:f>'2023'!$A$17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3C8-4203-8A07-B2C7A639DD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'2023'!$B$20:$M$20</c:f>
              <c:numCache>
                <c:formatCode>#,##0</c:formatCode>
                <c:ptCount val="12"/>
                <c:pt idx="0">
                  <c:v>158.685</c:v>
                </c:pt>
                <c:pt idx="1">
                  <c:v>128.37799999999999</c:v>
                </c:pt>
                <c:pt idx="2">
                  <c:v>124.334</c:v>
                </c:pt>
                <c:pt idx="3">
                  <c:v>136.59</c:v>
                </c:pt>
                <c:pt idx="4">
                  <c:v>132.00800000000001</c:v>
                </c:pt>
                <c:pt idx="5">
                  <c:v>134.17400000000001</c:v>
                </c:pt>
                <c:pt idx="6">
                  <c:v>143.654</c:v>
                </c:pt>
                <c:pt idx="7">
                  <c:v>147.673</c:v>
                </c:pt>
                <c:pt idx="8">
                  <c:v>140.24100000000001</c:v>
                </c:pt>
                <c:pt idx="9">
                  <c:v>127.343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DE-4746-9BF1-751A8FDFECAF}"/>
            </c:ext>
          </c:extLst>
        </c:ser>
        <c:ser>
          <c:idx val="1"/>
          <c:order val="1"/>
          <c:tx>
            <c:strRef>
              <c:f>'2023'!$A$21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DE-4746-9BF1-751A8FDFECAF}"/>
            </c:ext>
          </c:extLst>
        </c:ser>
        <c:ser>
          <c:idx val="2"/>
          <c:order val="2"/>
          <c:tx>
            <c:strRef>
              <c:f>'2023'!$A$22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'2023'!$B$22:$M$22</c:f>
              <c:numCache>
                <c:formatCode>#,##0</c:formatCode>
                <c:ptCount val="12"/>
                <c:pt idx="0">
                  <c:v>101.20699999999999</c:v>
                </c:pt>
                <c:pt idx="1">
                  <c:v>86.972999999999999</c:v>
                </c:pt>
                <c:pt idx="2">
                  <c:v>94.97</c:v>
                </c:pt>
                <c:pt idx="3">
                  <c:v>99.983000000000004</c:v>
                </c:pt>
                <c:pt idx="4">
                  <c:v>104.905</c:v>
                </c:pt>
                <c:pt idx="5">
                  <c:v>92.682000000000002</c:v>
                </c:pt>
                <c:pt idx="6">
                  <c:v>103.178</c:v>
                </c:pt>
                <c:pt idx="7">
                  <c:v>107.006</c:v>
                </c:pt>
                <c:pt idx="8">
                  <c:v>90.015000000000001</c:v>
                </c:pt>
                <c:pt idx="9">
                  <c:v>18.103999999999999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DE-4746-9BF1-751A8FDFECAF}"/>
            </c:ext>
          </c:extLst>
        </c:ser>
        <c:ser>
          <c:idx val="3"/>
          <c:order val="3"/>
          <c:tx>
            <c:strRef>
              <c:f>'2023'!$A$23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'2023'!$B$23:$M$23</c:f>
              <c:numCache>
                <c:formatCode>#,##0</c:formatCode>
                <c:ptCount val="12"/>
                <c:pt idx="0">
                  <c:v>9.3889999999999993</c:v>
                </c:pt>
                <c:pt idx="1">
                  <c:v>4.343</c:v>
                </c:pt>
                <c:pt idx="2">
                  <c:v>15.382999999999999</c:v>
                </c:pt>
                <c:pt idx="3">
                  <c:v>11.561999999999999</c:v>
                </c:pt>
                <c:pt idx="4">
                  <c:v>10.743</c:v>
                </c:pt>
                <c:pt idx="5">
                  <c:v>13.757999999999999</c:v>
                </c:pt>
                <c:pt idx="6">
                  <c:v>8.2390000000000008</c:v>
                </c:pt>
                <c:pt idx="7">
                  <c:v>6.5359999999999996</c:v>
                </c:pt>
                <c:pt idx="8">
                  <c:v>5.7190000000000003</c:v>
                </c:pt>
                <c:pt idx="9">
                  <c:v>4.4180000000000001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DE-4746-9BF1-751A8FDFECAF}"/>
            </c:ext>
          </c:extLst>
        </c:ser>
        <c:ser>
          <c:idx val="4"/>
          <c:order val="4"/>
          <c:tx>
            <c:strRef>
              <c:f>'2023'!$A$24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0DE-4746-9BF1-751A8FDFECAF}"/>
            </c:ext>
          </c:extLst>
        </c:ser>
        <c:ser>
          <c:idx val="5"/>
          <c:order val="5"/>
          <c:tx>
            <c:strRef>
              <c:f>'2023'!$A$25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'2023'!$B$25:$M$25</c:f>
              <c:numCache>
                <c:formatCode>#,##0</c:formatCode>
                <c:ptCount val="12"/>
                <c:pt idx="0">
                  <c:v>697.04399999999998</c:v>
                </c:pt>
                <c:pt idx="1">
                  <c:v>612.63</c:v>
                </c:pt>
                <c:pt idx="2">
                  <c:v>559.84999999999991</c:v>
                </c:pt>
                <c:pt idx="3">
                  <c:v>727.69600000000003</c:v>
                </c:pt>
                <c:pt idx="4">
                  <c:v>787.1869999999999</c:v>
                </c:pt>
                <c:pt idx="5">
                  <c:v>783.81799999999998</c:v>
                </c:pt>
                <c:pt idx="6">
                  <c:v>740.45699999999999</c:v>
                </c:pt>
                <c:pt idx="7">
                  <c:v>765.04399999999998</c:v>
                </c:pt>
                <c:pt idx="8">
                  <c:v>751.98599999999999</c:v>
                </c:pt>
                <c:pt idx="9">
                  <c:v>715.875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5-43A2-AD0C-0E1E61B07DB7}"/>
            </c:ext>
          </c:extLst>
        </c:ser>
        <c:ser>
          <c:idx val="6"/>
          <c:order val="6"/>
          <c:tx>
            <c:strRef>
              <c:f>'2023'!$A$27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4-4C85-BACE-6E4AA2ADF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'2023'!$B$28:$M$28</c:f>
              <c:numCache>
                <c:formatCode>#,##0</c:formatCode>
                <c:ptCount val="12"/>
                <c:pt idx="0">
                  <c:v>31.808</c:v>
                </c:pt>
                <c:pt idx="1">
                  <c:v>30.06</c:v>
                </c:pt>
                <c:pt idx="2">
                  <c:v>41.706000000000003</c:v>
                </c:pt>
                <c:pt idx="3">
                  <c:v>39.786000000000001</c:v>
                </c:pt>
                <c:pt idx="4">
                  <c:v>41.301000000000002</c:v>
                </c:pt>
                <c:pt idx="5">
                  <c:v>42.518999999999998</c:v>
                </c:pt>
                <c:pt idx="6">
                  <c:v>38.244999999999997</c:v>
                </c:pt>
                <c:pt idx="7">
                  <c:v>44.468000000000004</c:v>
                </c:pt>
                <c:pt idx="8">
                  <c:v>44.734000000000002</c:v>
                </c:pt>
                <c:pt idx="9">
                  <c:v>16.318999999999999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42-4510-8C35-279565498126}"/>
            </c:ext>
          </c:extLst>
        </c:ser>
        <c:ser>
          <c:idx val="1"/>
          <c:order val="1"/>
          <c:tx>
            <c:strRef>
              <c:f>'2023'!$A$29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42-4510-8C35-279565498126}"/>
            </c:ext>
          </c:extLst>
        </c:ser>
        <c:ser>
          <c:idx val="2"/>
          <c:order val="2"/>
          <c:tx>
            <c:strRef>
              <c:f>'2023'!$A$30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'2023'!$B$30:$M$30</c:f>
              <c:numCache>
                <c:formatCode>#,##0</c:formatCode>
                <c:ptCount val="12"/>
                <c:pt idx="0">
                  <c:v>770.02099999999996</c:v>
                </c:pt>
                <c:pt idx="1">
                  <c:v>662.08799999999997</c:v>
                </c:pt>
                <c:pt idx="2">
                  <c:v>727.11400000000003</c:v>
                </c:pt>
                <c:pt idx="3">
                  <c:v>747.34299999999996</c:v>
                </c:pt>
                <c:pt idx="4">
                  <c:v>681.61</c:v>
                </c:pt>
                <c:pt idx="5">
                  <c:v>695.15499999999997</c:v>
                </c:pt>
                <c:pt idx="6">
                  <c:v>799.71100000000001</c:v>
                </c:pt>
                <c:pt idx="7">
                  <c:v>841.99900000000002</c:v>
                </c:pt>
                <c:pt idx="8">
                  <c:v>864.85199999999998</c:v>
                </c:pt>
                <c:pt idx="9">
                  <c:v>845.46699999999998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2-4510-8C35-2795654981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0B-4FD7-9F31-2E35412DCDBC}"/>
            </c:ext>
          </c:extLst>
        </c:ser>
        <c:ser>
          <c:idx val="1"/>
          <c:order val="1"/>
          <c:tx>
            <c:strRef>
              <c:f>'2023'!$A$32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'2023'!$B$32:$M$32</c:f>
              <c:numCache>
                <c:formatCode>#,##0</c:formatCode>
                <c:ptCount val="12"/>
                <c:pt idx="0">
                  <c:v>257.39400000000001</c:v>
                </c:pt>
                <c:pt idx="1">
                  <c:v>201.65299999999999</c:v>
                </c:pt>
                <c:pt idx="2">
                  <c:v>122.59399999999999</c:v>
                </c:pt>
                <c:pt idx="3">
                  <c:v>255.571</c:v>
                </c:pt>
                <c:pt idx="4">
                  <c:v>276.01600000000002</c:v>
                </c:pt>
                <c:pt idx="5">
                  <c:v>243.96899999999999</c:v>
                </c:pt>
                <c:pt idx="6">
                  <c:v>244.946</c:v>
                </c:pt>
                <c:pt idx="7">
                  <c:v>248.34299999999999</c:v>
                </c:pt>
                <c:pt idx="8">
                  <c:v>223.68899999999999</c:v>
                </c:pt>
                <c:pt idx="9">
                  <c:v>118.45699999999999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0B-4FD7-9F31-2E35412DCDBC}"/>
            </c:ext>
          </c:extLst>
        </c:ser>
        <c:ser>
          <c:idx val="2"/>
          <c:order val="2"/>
          <c:tx>
            <c:strRef>
              <c:f>'2023'!$A$33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'2023'!$B$33:$M$33</c:f>
              <c:numCache>
                <c:formatCode>#,##0</c:formatCode>
                <c:ptCount val="12"/>
                <c:pt idx="0">
                  <c:v>25.396000000000001</c:v>
                </c:pt>
                <c:pt idx="1">
                  <c:v>29.622</c:v>
                </c:pt>
                <c:pt idx="2">
                  <c:v>15.27</c:v>
                </c:pt>
                <c:pt idx="3">
                  <c:v>17.908000000000001</c:v>
                </c:pt>
                <c:pt idx="4">
                  <c:v>8.5239999999999991</c:v>
                </c:pt>
                <c:pt idx="5">
                  <c:v>17.242000000000001</c:v>
                </c:pt>
                <c:pt idx="6">
                  <c:v>23.145</c:v>
                </c:pt>
                <c:pt idx="7">
                  <c:v>21.039000000000001</c:v>
                </c:pt>
                <c:pt idx="8">
                  <c:v>28.672999999999998</c:v>
                </c:pt>
                <c:pt idx="9">
                  <c:v>17.536000000000001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0B-4FD7-9F31-2E35412DCDBC}"/>
            </c:ext>
          </c:extLst>
        </c:ser>
        <c:ser>
          <c:idx val="3"/>
          <c:order val="3"/>
          <c:tx>
            <c:strRef>
              <c:f>'2023'!$A$34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'2023'!$B$34:$M$34</c:f>
              <c:numCache>
                <c:formatCode>#,##0</c:formatCode>
                <c:ptCount val="12"/>
                <c:pt idx="0">
                  <c:v>7.1429999999999998</c:v>
                </c:pt>
                <c:pt idx="1">
                  <c:v>12.648</c:v>
                </c:pt>
                <c:pt idx="2">
                  <c:v>17.295000000000002</c:v>
                </c:pt>
                <c:pt idx="3">
                  <c:v>3.024</c:v>
                </c:pt>
                <c:pt idx="4">
                  <c:v>2.5009999999999999</c:v>
                </c:pt>
                <c:pt idx="5">
                  <c:v>1.585</c:v>
                </c:pt>
                <c:pt idx="6">
                  <c:v>2.9470000000000001</c:v>
                </c:pt>
                <c:pt idx="7">
                  <c:v>1.994</c:v>
                </c:pt>
                <c:pt idx="8">
                  <c:v>4.8710000000000004</c:v>
                </c:pt>
                <c:pt idx="9">
                  <c:v>11.677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B-4FD7-9F31-2E35412DCDBC}"/>
            </c:ext>
          </c:extLst>
        </c:ser>
        <c:ser>
          <c:idx val="4"/>
          <c:order val="4"/>
          <c:tx>
            <c:strRef>
              <c:f>'2023'!$A$35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'2023'!$B$35:$M$35</c:f>
              <c:numCache>
                <c:formatCode>#,##0</c:formatCode>
                <c:ptCount val="12"/>
                <c:pt idx="0">
                  <c:v>65.213999999999999</c:v>
                </c:pt>
                <c:pt idx="1">
                  <c:v>59.210999999999999</c:v>
                </c:pt>
                <c:pt idx="2">
                  <c:v>75.263999999999996</c:v>
                </c:pt>
                <c:pt idx="3">
                  <c:v>69.869</c:v>
                </c:pt>
                <c:pt idx="4">
                  <c:v>69.680999999999997</c:v>
                </c:pt>
                <c:pt idx="5">
                  <c:v>49.259</c:v>
                </c:pt>
                <c:pt idx="6">
                  <c:v>67.546000000000006</c:v>
                </c:pt>
                <c:pt idx="7">
                  <c:v>69.353999999999999</c:v>
                </c:pt>
                <c:pt idx="8">
                  <c:v>67.876000000000005</c:v>
                </c:pt>
                <c:pt idx="9">
                  <c:v>28.199000000000002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50B-4FD7-9F31-2E35412DCDBC}"/>
            </c:ext>
          </c:extLst>
        </c:ser>
        <c:ser>
          <c:idx val="5"/>
          <c:order val="5"/>
          <c:tx>
            <c:strRef>
              <c:f>'2023'!$A$36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2-46BB-8130-9D8CCDE79489}"/>
            </c:ext>
          </c:extLst>
        </c:ser>
        <c:ser>
          <c:idx val="6"/>
          <c:order val="6"/>
          <c:tx>
            <c:strRef>
              <c:f>'2023'!$A$37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'2023'!$B$37:$M$37</c:f>
              <c:numCache>
                <c:formatCode>#,##0</c:formatCode>
                <c:ptCount val="12"/>
                <c:pt idx="0">
                  <c:v>1916.9299999999998</c:v>
                </c:pt>
                <c:pt idx="1">
                  <c:v>1665.2239999999999</c:v>
                </c:pt>
                <c:pt idx="2">
                  <c:v>1841.5260000000001</c:v>
                </c:pt>
                <c:pt idx="3">
                  <c:v>1891.5070000000001</c:v>
                </c:pt>
                <c:pt idx="4">
                  <c:v>1760.5920000000001</c:v>
                </c:pt>
                <c:pt idx="5">
                  <c:v>1789.9639999999999</c:v>
                </c:pt>
                <c:pt idx="6">
                  <c:v>1854.2660000000001</c:v>
                </c:pt>
                <c:pt idx="7">
                  <c:v>1952.3300000000004</c:v>
                </c:pt>
                <c:pt idx="8">
                  <c:v>1811.56</c:v>
                </c:pt>
                <c:pt idx="9">
                  <c:v>1837.307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2-46BB-8130-9D8CCDE79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5AA-44B6-B4CD-0485E28DDEF4}"/>
            </c:ext>
          </c:extLst>
        </c:ser>
        <c:ser>
          <c:idx val="1"/>
          <c:order val="1"/>
          <c:tx>
            <c:strRef>
              <c:f>'2023'!$A$38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'2023'!$B$38:$M$38</c:f>
              <c:numCache>
                <c:formatCode>#,##0</c:formatCode>
                <c:ptCount val="12"/>
                <c:pt idx="0">
                  <c:v>10.331</c:v>
                </c:pt>
                <c:pt idx="1">
                  <c:v>9.25</c:v>
                </c:pt>
                <c:pt idx="2">
                  <c:v>14.212</c:v>
                </c:pt>
                <c:pt idx="3">
                  <c:v>11.42</c:v>
                </c:pt>
                <c:pt idx="4">
                  <c:v>12.983000000000001</c:v>
                </c:pt>
                <c:pt idx="5">
                  <c:v>8.9979999999999993</c:v>
                </c:pt>
                <c:pt idx="6">
                  <c:v>6.9589999999999996</c:v>
                </c:pt>
                <c:pt idx="7">
                  <c:v>2.1309999999999998</c:v>
                </c:pt>
                <c:pt idx="8">
                  <c:v>17.298999999999999</c:v>
                </c:pt>
                <c:pt idx="9">
                  <c:v>19.861999999999998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5AA-44B6-B4CD-0485E28DDEF4}"/>
            </c:ext>
          </c:extLst>
        </c:ser>
        <c:ser>
          <c:idx val="2"/>
          <c:order val="2"/>
          <c:tx>
            <c:strRef>
              <c:f>'2023'!$A$39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'2023'!$B$4:$M$4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</c:numCache>
            </c:numRef>
          </c:cat>
          <c:val>
            <c:numRef>
              <c:f>'2023'!$B$39:$M$39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5AA-44B6-B4CD-0485E28DDE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0</xdr:col>
      <xdr:colOff>38103</xdr:colOff>
      <xdr:row>0</xdr:row>
      <xdr:rowOff>66678</xdr:rowOff>
    </xdr:from>
    <xdr:ext cx="2933696" cy="666753"/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3" y="66678"/>
          <a:ext cx="2933696" cy="66675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S.G. de Prospectiva, Estrategia y Normativa en Materia de Energía 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19775</xdr:colOff>
      <xdr:row>14</xdr:row>
      <xdr:rowOff>23132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449036</xdr:colOff>
      <xdr:row>14</xdr:row>
      <xdr:rowOff>27210</xdr:rowOff>
    </xdr:from>
    <xdr:ext cx="4612818" cy="3011978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68036</xdr:rowOff>
    </xdr:from>
    <xdr:ext cx="4626430" cy="2867906"/>
    <xdr:graphicFrame macro="">
      <xdr:nvGraphicFramePr>
        <xdr:cNvPr id="7" name="Gráfico 13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53067</xdr:rowOff>
    </xdr:from>
    <xdr:ext cx="4233986" cy="2882875"/>
    <xdr:graphicFrame macro="">
      <xdr:nvGraphicFramePr>
        <xdr:cNvPr id="8" name="Gráfico 15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7259</xdr:colOff>
      <xdr:row>43</xdr:row>
      <xdr:rowOff>61850</xdr:rowOff>
    </xdr:from>
    <xdr:ext cx="4673598" cy="2662504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421823</xdr:colOff>
      <xdr:row>43</xdr:row>
      <xdr:rowOff>64830</xdr:rowOff>
    </xdr:from>
    <xdr:ext cx="4612820" cy="2656599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795618</xdr:colOff>
      <xdr:row>43</xdr:row>
      <xdr:rowOff>68035</xdr:rowOff>
    </xdr:from>
    <xdr:ext cx="4239025" cy="2639786"/>
    <xdr:graphicFrame macro="">
      <xdr:nvGraphicFramePr>
        <xdr:cNvPr id="11" name="Gráfico 18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57</xdr:row>
      <xdr:rowOff>131124</xdr:rowOff>
    </xdr:from>
    <xdr:ext cx="4680203" cy="2848840"/>
    <xdr:graphicFrame macro="">
      <xdr:nvGraphicFramePr>
        <xdr:cNvPr id="12" name="Gráfico 19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57</xdr:row>
      <xdr:rowOff>137050</xdr:rowOff>
    </xdr:from>
    <xdr:ext cx="4605978" cy="2844158"/>
    <xdr:graphicFrame macro="">
      <xdr:nvGraphicFramePr>
        <xdr:cNvPr id="13" name="Gráfico 20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57</xdr:row>
      <xdr:rowOff>134911</xdr:rowOff>
    </xdr:from>
    <xdr:ext cx="4260309" cy="2845053"/>
    <xdr:graphicFrame macro="">
      <xdr:nvGraphicFramePr>
        <xdr:cNvPr id="14" name="Gráfico 2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6" name="Gráfico 19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8" name="Gráfico 23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69273</xdr:rowOff>
    </xdr:from>
    <xdr:to>
      <xdr:col>32</xdr:col>
      <xdr:colOff>312965</xdr:colOff>
      <xdr:row>42</xdr:row>
      <xdr:rowOff>190500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20" name="Gráfico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18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12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18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13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18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18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12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18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13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18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18</xdr:col>
      <xdr:colOff>775316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13</xdr:col>
      <xdr:colOff>71743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13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18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13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51955</xdr:colOff>
      <xdr:row>7</xdr:row>
      <xdr:rowOff>0</xdr:rowOff>
    </xdr:from>
    <xdr:ext cx="5957454" cy="3030682"/>
    <xdr:graphicFrame macro="">
      <xdr:nvGraphicFramePr>
        <xdr:cNvPr id="5" name="Gráfico 19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51956</xdr:colOff>
      <xdr:row>24</xdr:row>
      <xdr:rowOff>86591</xdr:rowOff>
    </xdr:from>
    <xdr:ext cx="5962402" cy="3844636"/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8</xdr:col>
      <xdr:colOff>242455</xdr:colOff>
      <xdr:row>7</xdr:row>
      <xdr:rowOff>11205</xdr:rowOff>
    </xdr:from>
    <xdr:ext cx="7958132" cy="7003677"/>
    <xdr:graphicFrame macro="">
      <xdr:nvGraphicFramePr>
        <xdr:cNvPr id="7" name="Gráfico 2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topLeftCell="A9" workbookViewId="0">
      <selection sqref="A1:H1048576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82" t="s">
        <v>59</v>
      </c>
      <c r="C13" s="82"/>
      <c r="D13" s="82"/>
      <c r="E13" s="82"/>
      <c r="F13" s="82"/>
      <c r="G13" s="82"/>
      <c r="H13" s="82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82"/>
      <c r="C14" s="82"/>
      <c r="D14" s="82"/>
      <c r="E14" s="82"/>
      <c r="F14" s="82"/>
      <c r="G14" s="82"/>
      <c r="H14" s="82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83" t="str">
        <f>'2023'!AV3</f>
        <v>OCTUBRE 2023</v>
      </c>
      <c r="C16" s="83"/>
      <c r="D16" s="83"/>
      <c r="E16" s="83"/>
      <c r="F16" s="83"/>
      <c r="G16" s="83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83"/>
      <c r="C17" s="83"/>
      <c r="D17" s="83"/>
      <c r="E17" s="83"/>
      <c r="F17" s="83"/>
      <c r="G17" s="83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83"/>
      <c r="C18" s="83"/>
      <c r="D18" s="83"/>
      <c r="E18" s="83"/>
      <c r="F18" s="83"/>
      <c r="G18" s="83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84" t="s">
        <v>62</v>
      </c>
      <c r="B34" s="84"/>
      <c r="C34" s="84"/>
      <c r="D34" s="84"/>
      <c r="E34" s="84"/>
      <c r="F34" s="84"/>
      <c r="G34" s="84"/>
      <c r="H34" s="84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70" zoomScaleNormal="7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P5" sqref="P5:P49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Y250"/>
  <sheetViews>
    <sheetView showGridLines="0" topLeftCell="Z1" zoomScale="70" zoomScaleNormal="70" workbookViewId="0">
      <selection activeCell="AS24" sqref="AS24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43" max="43" width="9.75" customWidth="1"/>
    <col min="45" max="45" width="11.5" style="72"/>
    <col min="46" max="46" width="11.5" style="72" customWidth="1"/>
    <col min="47" max="47" width="36.75" style="72" customWidth="1"/>
    <col min="48" max="48" width="12.625" style="72" customWidth="1"/>
    <col min="49" max="49" width="11.5" style="72" customWidth="1"/>
    <col min="50" max="51" width="11.5" style="72"/>
  </cols>
  <sheetData>
    <row r="1" spans="1:51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Q1" s="53" t="str">
        <f>"MOVIMIENTO DE CRUDOS Y OBTENCIÓN DE PRODUCTOS PETROLÍFEROS - " &amp;AV3</f>
        <v>MOVIMIENTO DE CRUDOS Y OBTENCIÓN DE PRODUCTOS PETROLÍFEROS - OCTUBRE 2023</v>
      </c>
      <c r="AE1" s="53" t="s">
        <v>60</v>
      </c>
    </row>
    <row r="2" spans="1:5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1" x14ac:dyDescent="0.2">
      <c r="AV3" s="73" t="str">
        <f>UPPER(TEXT(MAXA(B4:M4),"mmmm aaaa"))</f>
        <v>OCTUBRE 2023</v>
      </c>
    </row>
    <row r="4" spans="1:51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/>
      <c r="M4" s="13"/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74"/>
      <c r="AT4" s="74"/>
      <c r="AU4" s="74"/>
      <c r="AV4" s="74"/>
      <c r="AW4" s="74"/>
      <c r="AX4" s="74"/>
      <c r="AY4" s="74"/>
    </row>
    <row r="5" spans="1:51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/>
      <c r="M5" s="19"/>
      <c r="N5" s="20">
        <f>SUM(B5:M5)</f>
        <v>0.51700000000000002</v>
      </c>
      <c r="P5" s="34"/>
      <c r="Q5" s="34"/>
      <c r="R5" s="47"/>
      <c r="AS5" s="75"/>
      <c r="AT5" s="75"/>
      <c r="AU5" s="75"/>
      <c r="AV5" s="75"/>
      <c r="AW5" s="75"/>
      <c r="AX5" s="75"/>
      <c r="AY5" s="75"/>
    </row>
    <row r="6" spans="1:51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/>
      <c r="M6" s="24"/>
      <c r="N6" s="25">
        <f>SUM(B6:M6)</f>
        <v>51668.656000000003</v>
      </c>
      <c r="P6" s="34"/>
      <c r="Q6" s="34"/>
      <c r="R6" s="47"/>
      <c r="AS6" s="75"/>
      <c r="AT6" s="75"/>
      <c r="AU6" s="76" t="str">
        <f>A6</f>
        <v>IMPORTACIONES DE CRUDO</v>
      </c>
      <c r="AV6" s="77">
        <f>HLOOKUP(MAXA(B4:M4),$B$4:$M$6,3,FALSE)</f>
        <v>5304.4579999999996</v>
      </c>
      <c r="AW6" s="75"/>
      <c r="AX6" s="75"/>
      <c r="AY6" s="75"/>
    </row>
    <row r="7" spans="1:51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/>
      <c r="M7" s="28"/>
      <c r="N7" s="29">
        <f t="shared" ref="N7:N49" si="0">SUM(B7:M7)</f>
        <v>-27.422999999998865</v>
      </c>
      <c r="P7" s="34"/>
      <c r="Q7" s="34"/>
      <c r="R7" s="47"/>
      <c r="AS7" s="75"/>
      <c r="AT7" s="75"/>
      <c r="AU7" s="76" t="str">
        <f>A12</f>
        <v>TOTAL PROCESADO</v>
      </c>
      <c r="AV7" s="77">
        <f>HLOOKUP(MAXA(B4:M4),$B$4:$M$12,9,FALSE)</f>
        <v>5139.7179999999998</v>
      </c>
      <c r="AW7" s="75"/>
      <c r="AX7" s="75"/>
      <c r="AY7" s="75"/>
    </row>
    <row r="8" spans="1:51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/>
      <c r="M8" s="28"/>
      <c r="N8" s="29">
        <f t="shared" si="0"/>
        <v>355.80399999999997</v>
      </c>
      <c r="P8" s="34"/>
      <c r="Q8" s="34"/>
      <c r="R8" s="47"/>
      <c r="AS8" s="75"/>
      <c r="AT8" s="75"/>
      <c r="AU8" s="76" t="str">
        <f>A15</f>
        <v>PRODUCCION BRUTA DE REFINERIA</v>
      </c>
      <c r="AV8" s="77">
        <f>HLOOKUP(MAXA(B4:M4),$B$4:$M$15,12,FALSE)</f>
        <v>5132.0770000000002</v>
      </c>
      <c r="AW8" s="75"/>
      <c r="AX8" s="75"/>
      <c r="AY8" s="75"/>
    </row>
    <row r="9" spans="1:51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/>
      <c r="M9" s="28"/>
      <c r="N9" s="29">
        <f t="shared" si="0"/>
        <v>314.78500000000003</v>
      </c>
      <c r="P9" s="34"/>
      <c r="Q9" s="34"/>
      <c r="R9" s="47"/>
      <c r="AS9" s="75"/>
      <c r="AT9" s="75"/>
      <c r="AU9" s="75"/>
      <c r="AV9" s="77"/>
      <c r="AW9" s="75"/>
      <c r="AX9" s="75"/>
      <c r="AY9" s="75"/>
    </row>
    <row r="10" spans="1:51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/>
      <c r="M10" s="28"/>
      <c r="N10" s="29">
        <f t="shared" si="0"/>
        <v>810.86900000000003</v>
      </c>
      <c r="P10" s="34"/>
      <c r="Q10" s="34"/>
      <c r="R10" s="47"/>
      <c r="AS10" s="75"/>
      <c r="AT10" s="75"/>
      <c r="AU10" s="75"/>
      <c r="AV10" s="77"/>
      <c r="AW10" s="75"/>
      <c r="AX10" s="75"/>
      <c r="AY10" s="75"/>
    </row>
    <row r="11" spans="1:5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/>
      <c r="M11" s="28"/>
      <c r="N11" s="29">
        <f t="shared" si="0"/>
        <v>0</v>
      </c>
      <c r="P11" s="35"/>
      <c r="Q11" s="55"/>
      <c r="R11" s="47"/>
      <c r="AS11" s="75"/>
      <c r="AT11" s="75"/>
      <c r="AU11" s="76" t="str">
        <f>A7</f>
        <v>IMPORTACIONES DE PROD. INTERMEDIOS Y MAT. AUXILIARES</v>
      </c>
      <c r="AV11" s="77">
        <f>HLOOKUP(MAXA(B4:M4),$B$4:$M$15,4,FALSE)</f>
        <v>43.296000000000276</v>
      </c>
      <c r="AW11" s="75"/>
      <c r="AX11" s="75"/>
      <c r="AY11" s="75"/>
    </row>
    <row r="12" spans="1:51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/>
      <c r="M12" s="24"/>
      <c r="N12" s="25">
        <f>SUM(B12:M12)</f>
        <v>51782.03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78"/>
      <c r="AT12" s="78"/>
      <c r="AU12" s="76" t="str">
        <f>A8</f>
        <v>VARIACION DE STOCKS DE CRUDOS (Ef-Ei)</v>
      </c>
      <c r="AV12" s="79">
        <f>HLOOKUP(MAXA(B4:M4),$B$4:$M$15,5,FALSE)</f>
        <v>176.79</v>
      </c>
      <c r="AW12" s="78"/>
      <c r="AX12" s="78"/>
      <c r="AY12" s="78"/>
    </row>
    <row r="13" spans="1:51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/>
      <c r="M13" s="28"/>
      <c r="N13" s="29">
        <f t="shared" si="0"/>
        <v>51313.369000000006</v>
      </c>
      <c r="P13" s="34"/>
      <c r="Q13" s="34"/>
      <c r="R13" s="47"/>
      <c r="AS13" s="75"/>
      <c r="AT13" s="75"/>
      <c r="AU13" s="76" t="str">
        <f>A9</f>
        <v>APROVISIONAMIENTO DE PROD. INTERMEDIOS Y MAT. AUXILIARES</v>
      </c>
      <c r="AV13" s="77">
        <f>HLOOKUP(MAXA(B4:M4),$B$4:$M$15,6,FALSE)</f>
        <v>65.545000000000016</v>
      </c>
      <c r="AW13" s="75"/>
      <c r="AX13" s="75"/>
      <c r="AY13" s="75"/>
    </row>
    <row r="14" spans="1:51" s="21" customFormat="1" ht="21" customHeight="1" x14ac:dyDescent="0.2">
      <c r="A14" s="26" t="s">
        <v>8</v>
      </c>
      <c r="B14" s="27">
        <v>93.924999999998363</v>
      </c>
      <c r="C14" s="28">
        <v>69.941000000000713</v>
      </c>
      <c r="D14" s="28">
        <v>100.42199999999866</v>
      </c>
      <c r="E14" s="28">
        <v>50.175999999999476</v>
      </c>
      <c r="F14" s="28">
        <v>30.166000000001077</v>
      </c>
      <c r="G14" s="28">
        <v>42.652000000001863</v>
      </c>
      <c r="H14" s="28">
        <v>207.33399999999983</v>
      </c>
      <c r="I14" s="46">
        <v>55.220000000000255</v>
      </c>
      <c r="J14" s="28">
        <v>87.34900000000107</v>
      </c>
      <c r="K14" s="28">
        <v>7.6409999999996217</v>
      </c>
      <c r="L14" s="28"/>
      <c r="M14" s="28"/>
      <c r="N14" s="29">
        <f t="shared" si="0"/>
        <v>744.82600000000093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75"/>
      <c r="AT14" s="75"/>
      <c r="AU14" s="76" t="str">
        <f>A10</f>
        <v>PRODUCTOS TRASPASADOS Y BACKFLOWS</v>
      </c>
      <c r="AV14" s="77">
        <f>HLOOKUP(MAXA(B4:M4),$B$4:$M$15,7,FALSE)</f>
        <v>34.192</v>
      </c>
      <c r="AW14" s="75"/>
      <c r="AX14" s="75"/>
      <c r="AY14" s="75"/>
    </row>
    <row r="15" spans="1:51" s="32" customFormat="1" ht="21" customHeight="1" x14ac:dyDescent="0.2">
      <c r="A15" s="22" t="s">
        <v>9</v>
      </c>
      <c r="B15" s="24">
        <f t="shared" ref="B15:K15" si="1">SUM(B16:B49)</f>
        <v>5269.3350000000009</v>
      </c>
      <c r="C15" s="24">
        <f t="shared" si="1"/>
        <v>4556.8129999999992</v>
      </c>
      <c r="D15" s="24">
        <f t="shared" si="1"/>
        <v>4842.3370000000004</v>
      </c>
      <c r="E15" s="24">
        <f t="shared" si="1"/>
        <v>5208.5810000000001</v>
      </c>
      <c r="F15" s="24">
        <f t="shared" si="1"/>
        <v>5021.5209999999997</v>
      </c>
      <c r="G15" s="24">
        <f t="shared" si="1"/>
        <v>4887.6849999999995</v>
      </c>
      <c r="H15" s="24">
        <f t="shared" si="1"/>
        <v>5299.451</v>
      </c>
      <c r="I15" s="24">
        <f t="shared" si="1"/>
        <v>5485.686999999999</v>
      </c>
      <c r="J15" s="24">
        <f t="shared" si="1"/>
        <v>5333.7169999999996</v>
      </c>
      <c r="K15" s="24">
        <f t="shared" si="1"/>
        <v>5132.0770000000002</v>
      </c>
      <c r="L15" s="24"/>
      <c r="M15" s="24"/>
      <c r="N15" s="25">
        <f t="shared" si="0"/>
        <v>51037.203999999991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S15" s="75"/>
      <c r="AT15" s="75"/>
      <c r="AU15" s="76" t="str">
        <f>A11</f>
        <v>CONSUMO DIRECTO DE CRUDO</v>
      </c>
      <c r="AV15" s="77">
        <f>HLOOKUP(MAXA(B4:M4),$B$4:$M$15,8,FALSE)</f>
        <v>0</v>
      </c>
      <c r="AW15" s="75"/>
      <c r="AX15" s="75"/>
      <c r="AY15" s="75"/>
    </row>
    <row r="16" spans="1:51" ht="16.5" customHeight="1" x14ac:dyDescent="0.2">
      <c r="A16" s="9" t="s">
        <v>14</v>
      </c>
      <c r="B16" s="3">
        <v>231.304</v>
      </c>
      <c r="C16" s="2">
        <v>169.92599999999999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/>
      <c r="M16" s="2"/>
      <c r="N16" s="4">
        <f t="shared" si="0"/>
        <v>1781.48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0" t="str">
        <f>A16</f>
        <v>Gas Refinería</v>
      </c>
      <c r="AV17" s="81">
        <f>HLOOKUP(MAXA(B4:M4),$B$4:$M$49,13,FALSE)</f>
        <v>169.50700000000001</v>
      </c>
      <c r="AW17" s="81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/>
      <c r="M18" s="2"/>
      <c r="N18" s="4">
        <f t="shared" si="0"/>
        <v>825.13499999999988</v>
      </c>
      <c r="AU18" s="80" t="str">
        <f t="shared" ref="AU18:AU50" si="2">A17</f>
        <v>Etano</v>
      </c>
      <c r="AV18" s="81">
        <f>HLOOKUP(MAXA(B4:M4),$B$4:$M$49,14,FALSE)</f>
        <v>0</v>
      </c>
      <c r="AW18" s="81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8.9939999999999998</v>
      </c>
      <c r="L19" s="2"/>
      <c r="M19" s="2"/>
      <c r="N19" s="4">
        <f t="shared" si="0"/>
        <v>64.479000000000013</v>
      </c>
      <c r="AU19" s="80" t="str">
        <f t="shared" si="2"/>
        <v>Butano</v>
      </c>
      <c r="AV19" s="81">
        <f>HLOOKUP(MAXA(B4:M4),$B$4:$M$49,15,FALSE)</f>
        <v>91.206999999999994</v>
      </c>
      <c r="AW19" s="81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/>
      <c r="M20" s="2"/>
      <c r="N20" s="4">
        <f t="shared" si="0"/>
        <v>1373.0800000000002</v>
      </c>
      <c r="AU20" s="80" t="str">
        <f t="shared" si="2"/>
        <v>Propano</v>
      </c>
      <c r="AV20" s="81">
        <f>HLOOKUP(MAXA(B4:M4),$B$4:$M$49,16,FALSE)</f>
        <v>8.9939999999999998</v>
      </c>
      <c r="AW20" s="81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/>
      <c r="M21" s="2"/>
      <c r="N21" s="4">
        <f t="shared" si="0"/>
        <v>0</v>
      </c>
      <c r="AU21" s="80" t="str">
        <f t="shared" si="2"/>
        <v>Nafta</v>
      </c>
      <c r="AV21" s="81">
        <f>HLOOKUP(MAXA(B4:M4),$B$4:$M$49,17,FALSE)</f>
        <v>127.343</v>
      </c>
      <c r="AW21" s="81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107.006</v>
      </c>
      <c r="J22" s="2">
        <v>90.015000000000001</v>
      </c>
      <c r="K22" s="2">
        <v>18.103999999999999</v>
      </c>
      <c r="L22" s="2"/>
      <c r="M22" s="2"/>
      <c r="N22" s="4">
        <f t="shared" si="0"/>
        <v>899.02300000000002</v>
      </c>
      <c r="AU22" s="80" t="str">
        <f t="shared" si="2"/>
        <v>Gasolina 97 I.O.</v>
      </c>
      <c r="AV22" s="81">
        <f>HLOOKUP(MAXA(B4:M4),$B$4:$M$49,18,FALSE)</f>
        <v>0</v>
      </c>
      <c r="AW22" s="81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/>
      <c r="M23" s="2"/>
      <c r="N23" s="4">
        <f t="shared" si="0"/>
        <v>90.09</v>
      </c>
      <c r="AU23" s="80" t="str">
        <f t="shared" si="2"/>
        <v>Gasolina 95 I.O.</v>
      </c>
      <c r="AV23" s="81">
        <f>HLOOKUP(MAXA(B4:M4),$B$4:$M$49,19,FALSE)</f>
        <v>18.103999999999999</v>
      </c>
      <c r="AW23" s="81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/>
      <c r="M24" s="2"/>
      <c r="N24" s="4">
        <f t="shared" si="0"/>
        <v>0</v>
      </c>
      <c r="AU24" s="80" t="str">
        <f t="shared" si="2"/>
        <v>Gasolina 98 I.O.</v>
      </c>
      <c r="AV24" s="81">
        <f>HLOOKUP(MAXA(B4:M4),$B$4:$M$49,20,FALSE)</f>
        <v>4.4180000000000001</v>
      </c>
      <c r="AW24" s="81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/>
      <c r="M25" s="2"/>
      <c r="N25" s="4">
        <f t="shared" si="0"/>
        <v>7141.5869999999995</v>
      </c>
      <c r="AU25" s="80" t="str">
        <f t="shared" si="2"/>
        <v>Gasolina de Aviación</v>
      </c>
      <c r="AV25" s="81">
        <f>HLOOKUP(MAXA(B4:M4),$B$4:$M$49,21,FALSE)</f>
        <v>0</v>
      </c>
      <c r="AW25" s="81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/>
      <c r="M26" s="2"/>
      <c r="N26" s="4">
        <f t="shared" si="0"/>
        <v>0</v>
      </c>
      <c r="AU26" s="80" t="str">
        <f t="shared" si="2"/>
        <v>Otras Gasolinas</v>
      </c>
      <c r="AV26" s="81">
        <f>HLOOKUP(MAXA(B4:M4),$B$4:$M$49,22,FALSE)</f>
        <v>715.875</v>
      </c>
      <c r="AW26" s="81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/>
      <c r="M27" s="2"/>
      <c r="N27" s="4">
        <f t="shared" si="0"/>
        <v>0</v>
      </c>
      <c r="AU27" s="80" t="str">
        <f t="shared" si="2"/>
        <v>Bioetanol</v>
      </c>
      <c r="AV27" s="81">
        <f>HLOOKUP(MAXA(B4:M4),$B$4:$M$49,23,FALSE)</f>
        <v>0</v>
      </c>
      <c r="AW27" s="81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/>
      <c r="M28" s="2"/>
      <c r="N28" s="4">
        <f t="shared" si="0"/>
        <v>370.94600000000003</v>
      </c>
      <c r="AU28" s="80" t="str">
        <f t="shared" si="2"/>
        <v>Gasolinas Mezcla</v>
      </c>
      <c r="AV28" s="81">
        <f>HLOOKUP(MAXA(B4:M4),$B$4:$M$49,24,FALSE)</f>
        <v>0</v>
      </c>
      <c r="AW28" s="81"/>
    </row>
    <row r="29" spans="1:49" ht="13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/>
      <c r="M29" s="2"/>
      <c r="N29" s="4">
        <f t="shared" si="0"/>
        <v>0</v>
      </c>
      <c r="AU29" s="80" t="str">
        <f t="shared" si="2"/>
        <v>Queroseno aviac. Jet A1</v>
      </c>
      <c r="AV29" s="81">
        <f>HLOOKUP(MAXA(B4:M4),$B$4:$M$49,25,FALSE)</f>
        <v>16.318999999999999</v>
      </c>
      <c r="AW29" s="81"/>
    </row>
    <row r="30" spans="1:49" ht="16.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/>
      <c r="M30" s="2"/>
      <c r="N30" s="4">
        <f t="shared" si="0"/>
        <v>7635.36</v>
      </c>
      <c r="AU30" s="80" t="str">
        <f t="shared" si="2"/>
        <v>Queroseno aviac. Jet A2</v>
      </c>
      <c r="AV30" s="81">
        <f>HLOOKUP(MAXA(B4:M4),$B$4:$M$49,26,FALSE)</f>
        <v>0</v>
      </c>
      <c r="AW30" s="81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/>
      <c r="M31" s="2"/>
      <c r="N31" s="4">
        <f t="shared" si="0"/>
        <v>0</v>
      </c>
      <c r="AU31" s="80" t="str">
        <f t="shared" si="2"/>
        <v>Otros Querosenos</v>
      </c>
      <c r="AV31" s="81">
        <f>HLOOKUP(MAXA(B4:M4),$B$4:$M$49,27,FALSE)</f>
        <v>845.46699999999998</v>
      </c>
      <c r="AW31" s="81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276.01600000000002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/>
      <c r="M32" s="2"/>
      <c r="N32" s="4">
        <f t="shared" si="0"/>
        <v>2192.6320000000001</v>
      </c>
      <c r="AU32" s="80" t="str">
        <f t="shared" si="2"/>
        <v>Gasóleo A</v>
      </c>
      <c r="AV32" s="81">
        <f>HLOOKUP(MAXA(B4:M4),$B$4:$M$49,28,FALSE)</f>
        <v>0</v>
      </c>
      <c r="AW32" s="81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/>
      <c r="M33" s="2"/>
      <c r="N33" s="4">
        <f t="shared" si="0"/>
        <v>204.35500000000002</v>
      </c>
      <c r="AU33" s="80" t="str">
        <f t="shared" si="2"/>
        <v>Gasóleo A 10 PPM</v>
      </c>
      <c r="AV33" s="81">
        <f>HLOOKUP(MAXA(B4:M4),$B$4:$M$49,29,FALSE)</f>
        <v>118.45699999999999</v>
      </c>
      <c r="AW33" s="81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/>
      <c r="M34" s="2"/>
      <c r="N34" s="4">
        <f t="shared" si="0"/>
        <v>65.685000000000002</v>
      </c>
      <c r="AU34" s="80" t="str">
        <f t="shared" si="2"/>
        <v>Gasóleo B</v>
      </c>
      <c r="AV34" s="81">
        <f>HLOOKUP(MAXA(B4:M4),$B$4:$M$49,30,FALSE)</f>
        <v>17.536000000000001</v>
      </c>
      <c r="AW34" s="81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/>
      <c r="M35" s="2"/>
      <c r="N35" s="4">
        <f t="shared" si="0"/>
        <v>621.47299999999996</v>
      </c>
      <c r="AU35" s="80" t="str">
        <f t="shared" si="2"/>
        <v>Gasóleo C</v>
      </c>
      <c r="AV35" s="81">
        <f>HLOOKUP(MAXA(B4:M4),$B$4:$M$49,31,FALSE)</f>
        <v>11.677</v>
      </c>
      <c r="AW35" s="81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/>
      <c r="M36" s="2"/>
      <c r="N36" s="4">
        <f t="shared" si="0"/>
        <v>0</v>
      </c>
      <c r="AU36" s="80" t="str">
        <f t="shared" si="2"/>
        <v>Gasóleo para uso marítimo</v>
      </c>
      <c r="AV36" s="81">
        <f>HLOOKUP(MAXA(B4:M4),$B$4:$M$49,32,FALSE)</f>
        <v>28.199000000000002</v>
      </c>
      <c r="AW36" s="81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1891.5070000000001</v>
      </c>
      <c r="F37" s="2">
        <v>1760.5920000000001</v>
      </c>
      <c r="G37" s="2">
        <v>1789.9639999999999</v>
      </c>
      <c r="H37" s="2">
        <v>1854.2660000000001</v>
      </c>
      <c r="I37" s="2">
        <v>1952.3300000000004</v>
      </c>
      <c r="J37" s="2">
        <v>1811.56</v>
      </c>
      <c r="K37" s="2">
        <v>1837.307</v>
      </c>
      <c r="L37" s="2"/>
      <c r="M37" s="2"/>
      <c r="N37" s="4">
        <f t="shared" si="0"/>
        <v>18321.206000000002</v>
      </c>
      <c r="AU37" s="80" t="str">
        <f t="shared" si="2"/>
        <v>Diésel para uso marítimo</v>
      </c>
      <c r="AV37" s="81">
        <f>HLOOKUP(MAXA(B4:M4),$B$4:$M$49,33,FALSE)</f>
        <v>0</v>
      </c>
      <c r="AW37" s="81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12.983000000000001</v>
      </c>
      <c r="G38" s="2">
        <v>8.9979999999999993</v>
      </c>
      <c r="H38" s="2">
        <v>6.9589999999999996</v>
      </c>
      <c r="I38" s="2">
        <v>2.1309999999999998</v>
      </c>
      <c r="J38" s="2">
        <v>17.298999999999999</v>
      </c>
      <c r="K38" s="2">
        <v>19.861999999999998</v>
      </c>
      <c r="L38" s="2"/>
      <c r="M38" s="2"/>
      <c r="N38" s="4">
        <f t="shared" si="0"/>
        <v>113.44499999999999</v>
      </c>
      <c r="AU38" s="80" t="str">
        <f t="shared" si="2"/>
        <v>Otros Gasóleos</v>
      </c>
      <c r="AV38" s="81">
        <f>HLOOKUP(MAXA(B4:M4),$B$4:$M$49,34,FALSE)</f>
        <v>1837.307</v>
      </c>
      <c r="AW38" s="81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/>
      <c r="M39" s="2"/>
      <c r="N39" s="4">
        <f t="shared" si="0"/>
        <v>0</v>
      </c>
      <c r="AU39" s="80" t="str">
        <f t="shared" si="2"/>
        <v>Biodiesel</v>
      </c>
      <c r="AV39" s="81">
        <f>HLOOKUP(MAXA(B4:M4),$B$4:$M$49,35,FALSE)</f>
        <v>19.861999999999998</v>
      </c>
      <c r="AW39" s="81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/>
      <c r="M40" s="2"/>
      <c r="N40" s="4">
        <f t="shared" si="0"/>
        <v>0</v>
      </c>
      <c r="AU40" s="80" t="str">
        <f t="shared" si="2"/>
        <v>Biodiesel Mezcla</v>
      </c>
      <c r="AV40" s="81">
        <f>HLOOKUP(MAXA(B4:M4),$B$4:$M$49,36,FALSE)</f>
        <v>0</v>
      </c>
      <c r="AW40" s="81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/>
      <c r="M41" s="2"/>
      <c r="N41" s="4">
        <f t="shared" si="0"/>
        <v>4.7290000000000001</v>
      </c>
      <c r="AU41" s="80" t="str">
        <f t="shared" si="2"/>
        <v>Fuelóleo BIA</v>
      </c>
      <c r="AV41" s="81">
        <f>HLOOKUP(MAXA(B4:M4),$B$4:$M$49,37,FALSE)</f>
        <v>0</v>
      </c>
      <c r="AW41" s="81"/>
    </row>
    <row r="42" spans="1:49" ht="16.5" customHeight="1" x14ac:dyDescent="0.2">
      <c r="A42" s="9" t="s">
        <v>61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/>
      <c r="M42" s="2"/>
      <c r="N42" s="4">
        <f t="shared" si="0"/>
        <v>3.0000000000000001E-3</v>
      </c>
      <c r="AU42" s="80" t="str">
        <f t="shared" si="2"/>
        <v>Fuelóleo de refineria</v>
      </c>
      <c r="AV42" s="81">
        <f>HLOOKUP(MAXA(B4:M4),$B$4:$M$49,38,FALSE)</f>
        <v>4.3140000000000001</v>
      </c>
      <c r="AW42" s="81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/>
      <c r="M43" s="2"/>
      <c r="N43" s="4">
        <f t="shared" si="0"/>
        <v>3140.6889999999999</v>
      </c>
      <c r="AU43" s="80" t="str">
        <f t="shared" si="2"/>
        <v>Otros combustibles para uso marítimo</v>
      </c>
      <c r="AV43" s="81">
        <f>HLOOKUP(MAXA(B4:M4),$B$4:$M$49,39,FALSE)</f>
        <v>0</v>
      </c>
      <c r="AW43" s="81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/>
      <c r="M44" s="2"/>
      <c r="N44" s="4">
        <f t="shared" si="0"/>
        <v>255.08800000000002</v>
      </c>
      <c r="AU44" s="80" t="str">
        <f t="shared" si="2"/>
        <v>Otros Fuelóleos</v>
      </c>
      <c r="AV44" s="81">
        <f>HLOOKUP(MAXA(B4:M4),$B$4:$M$49,40,FALSE)</f>
        <v>417.71300000000002</v>
      </c>
      <c r="AW44" s="81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/>
      <c r="M45" s="2"/>
      <c r="N45" s="4">
        <f t="shared" si="0"/>
        <v>1538.5749999999998</v>
      </c>
      <c r="AU45" s="80" t="str">
        <f t="shared" si="2"/>
        <v>Aceites y bases lubricantes</v>
      </c>
      <c r="AV45" s="81">
        <f>HLOOKUP(MAXA(B4:M4),$B$4:$M$49,41,FALSE)</f>
        <v>26.533999999999999</v>
      </c>
      <c r="AW45" s="81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/>
      <c r="M46" s="2"/>
      <c r="N46" s="4">
        <f t="shared" si="0"/>
        <v>102.54400000000001</v>
      </c>
      <c r="AU46" s="80" t="str">
        <f t="shared" si="2"/>
        <v>Productos asfálticos</v>
      </c>
      <c r="AV46" s="81">
        <f>HLOOKUP(MAXA(B4:M4),$B$4:$M$49,42,FALSE)</f>
        <v>134.88399999999999</v>
      </c>
      <c r="AW46" s="81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/>
      <c r="M47" s="2"/>
      <c r="N47" s="4">
        <f t="shared" si="0"/>
        <v>57.114999999999995</v>
      </c>
      <c r="AU47" s="80" t="str">
        <f t="shared" si="2"/>
        <v>Disolventes</v>
      </c>
      <c r="AV47" s="81">
        <f>HLOOKUP(MAXA(B4:M4),$B$4:$M$49,43,FALSE)</f>
        <v>9.3849999999999998</v>
      </c>
      <c r="AW47" s="81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326.91699999999997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/>
      <c r="M48" s="2"/>
      <c r="N48" s="4">
        <f t="shared" si="0"/>
        <v>2919.4629999999997</v>
      </c>
      <c r="AU48" s="80" t="str">
        <f t="shared" si="2"/>
        <v>Parafinas</v>
      </c>
      <c r="AV48" s="81">
        <f>HLOOKUP(MAXA(B4:M4),$B$4:$M$49,44,FALSE)</f>
        <v>6.125</v>
      </c>
      <c r="AW48" s="81"/>
    </row>
    <row r="49" spans="1:49" ht="18" customHeight="1" x14ac:dyDescent="0.2">
      <c r="A49" s="10" t="s">
        <v>52</v>
      </c>
      <c r="B49" s="7">
        <v>178.7340000000022</v>
      </c>
      <c r="C49" s="5">
        <v>110.85200000000003</v>
      </c>
      <c r="D49" s="5">
        <v>187.20700000000002</v>
      </c>
      <c r="E49" s="5">
        <v>67.786000000000968</v>
      </c>
      <c r="F49" s="5">
        <v>94.30699999999797</v>
      </c>
      <c r="G49" s="5">
        <v>11.461999999999989</v>
      </c>
      <c r="H49" s="5">
        <v>186.27600000000166</v>
      </c>
      <c r="I49" s="5">
        <v>160.69199999999819</v>
      </c>
      <c r="J49" s="5">
        <v>126.13699999999997</v>
      </c>
      <c r="K49" s="5">
        <v>195.56900000000005</v>
      </c>
      <c r="L49" s="5"/>
      <c r="M49" s="5"/>
      <c r="N49" s="6">
        <f t="shared" si="0"/>
        <v>1319.0220000000011</v>
      </c>
      <c r="AU49" s="80" t="str">
        <f t="shared" si="2"/>
        <v>Coque de petróleo</v>
      </c>
      <c r="AV49" s="81">
        <f>HLOOKUP(MAXA(B4:M4),$B$4:$M$49,45,FALSE)</f>
        <v>307.28100000000001</v>
      </c>
      <c r="AW49" s="81"/>
    </row>
    <row r="50" spans="1:49" x14ac:dyDescent="0.2">
      <c r="F50" s="41"/>
      <c r="AU50" s="80" t="str">
        <f t="shared" si="2"/>
        <v>Otros Productos</v>
      </c>
      <c r="AV50" s="72">
        <f>HLOOKUP(MAXA(B4:M4),$B$4:$M$49,46,FALSE)</f>
        <v>195.56900000000005</v>
      </c>
      <c r="AW50" s="81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2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6"/>
  <sheetViews>
    <sheetView tabSelected="1" topLeftCell="F17" zoomScale="70" zoomScaleNormal="70" workbookViewId="0">
      <selection activeCell="V128" sqref="V128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16384" width="11" style="59"/>
  </cols>
  <sheetData>
    <row r="1" spans="1:13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</row>
    <row r="2" spans="1:13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9"/>
    </row>
    <row r="3" spans="1:13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9"/>
    </row>
    <row r="4" spans="1:13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9"/>
    </row>
    <row r="5" spans="1:13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9"/>
    </row>
    <row r="6" spans="1:13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9"/>
    </row>
    <row r="7" spans="1:13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9"/>
    </row>
    <row r="8" spans="1:13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9"/>
    </row>
    <row r="9" spans="1:13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9"/>
    </row>
    <row r="10" spans="1:13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9"/>
    </row>
    <row r="11" spans="1:13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70"/>
    </row>
    <row r="12" spans="1:13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9"/>
    </row>
    <row r="13" spans="1:13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9"/>
    </row>
    <row r="14" spans="1:13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9"/>
    </row>
    <row r="15" spans="1:13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9"/>
    </row>
    <row r="16" spans="1:13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9"/>
    </row>
    <row r="17" spans="1:13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9"/>
    </row>
    <row r="18" spans="1:13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9"/>
    </row>
    <row r="19" spans="1:13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9"/>
    </row>
    <row r="20" spans="1:13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9"/>
    </row>
    <row r="21" spans="1:13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9"/>
    </row>
    <row r="22" spans="1:13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9"/>
    </row>
    <row r="23" spans="1:13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9"/>
    </row>
    <row r="24" spans="1:13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9"/>
    </row>
    <row r="25" spans="1:13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9"/>
    </row>
    <row r="26" spans="1:13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9"/>
    </row>
    <row r="27" spans="1:13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9"/>
    </row>
    <row r="28" spans="1:13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9"/>
    </row>
    <row r="29" spans="1:13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70"/>
    </row>
    <row r="30" spans="1:13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9"/>
    </row>
    <row r="31" spans="1:13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9"/>
    </row>
    <row r="32" spans="1:13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9"/>
    </row>
    <row r="33" spans="1:13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9"/>
    </row>
    <row r="34" spans="1:13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70"/>
    </row>
    <row r="35" spans="1:13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70"/>
    </row>
    <row r="36" spans="1:13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9"/>
    </row>
    <row r="37" spans="1:13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9"/>
    </row>
    <row r="38" spans="1:13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9"/>
    </row>
    <row r="39" spans="1:13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9"/>
    </row>
    <row r="40" spans="1:13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70"/>
    </row>
    <row r="41" spans="1:13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9"/>
    </row>
    <row r="42" spans="1:13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9"/>
    </row>
    <row r="43" spans="1:13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9"/>
    </row>
    <row r="44" spans="1:13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9"/>
    </row>
    <row r="45" spans="1:13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9"/>
    </row>
    <row r="46" spans="1:13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70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G2:AF46"/>
  <sheetViews>
    <sheetView topLeftCell="A15" zoomScale="85" zoomScaleNormal="85" workbookViewId="0">
      <selection sqref="A1:R47"/>
    </sheetView>
  </sheetViews>
  <sheetFormatPr baseColWidth="10" defaultRowHeight="14.25" x14ac:dyDescent="0.2"/>
  <cols>
    <col min="1" max="1" width="1.5" customWidth="1"/>
    <col min="19" max="19" width="4.125" customWidth="1"/>
  </cols>
  <sheetData>
    <row r="2" spans="7:32" ht="15.75" x14ac:dyDescent="0.25">
      <c r="G2" s="71" t="str">
        <f>"MOVIMIENTO DE CRUDOS Y OBTENCIÓN DE PRODUCTOS PETROLÍFEROS - "&amp;'2023'!$AV$3</f>
        <v>MOVIMIENTO DE CRUDOS Y OBTENCIÓN DE PRODUCTOS PETROLÍFEROS - OCTUBRE 2023</v>
      </c>
    </row>
    <row r="14" spans="7:32" ht="15" x14ac:dyDescent="0.2">
      <c r="W14" s="54"/>
      <c r="X14" s="54"/>
      <c r="Y14" s="54"/>
      <c r="Z14" s="54"/>
      <c r="AA14" s="54"/>
      <c r="AB14" s="54"/>
      <c r="AC14" s="54"/>
      <c r="AD14" s="54"/>
      <c r="AE14" s="54"/>
      <c r="AF14" s="16"/>
    </row>
    <row r="15" spans="7:32" x14ac:dyDescent="0.2">
      <c r="W15" s="34"/>
      <c r="X15" s="47"/>
      <c r="Y15" s="21"/>
      <c r="Z15" s="21"/>
      <c r="AA15" s="21"/>
      <c r="AB15" s="21"/>
      <c r="AC15" s="21"/>
      <c r="AD15" s="21"/>
      <c r="AE15" s="21"/>
      <c r="AF15" s="21"/>
    </row>
    <row r="16" spans="7:32" x14ac:dyDescent="0.2">
      <c r="W16" s="34"/>
      <c r="X16" s="47"/>
      <c r="Y16" s="21"/>
      <c r="Z16" s="21"/>
      <c r="AA16" s="21"/>
      <c r="AB16" s="21"/>
      <c r="AC16" s="21"/>
      <c r="AD16" s="21"/>
      <c r="AE16" s="21"/>
      <c r="AF16" s="21"/>
    </row>
    <row r="17" spans="23:32" x14ac:dyDescent="0.2">
      <c r="W17" s="34"/>
      <c r="X17" s="47"/>
      <c r="Y17" s="21"/>
      <c r="Z17" s="21"/>
      <c r="AA17" s="21"/>
      <c r="AB17" s="21"/>
      <c r="AC17" s="21"/>
      <c r="AD17" s="21"/>
      <c r="AE17" s="21"/>
      <c r="AF17" s="21"/>
    </row>
    <row r="18" spans="23:32" x14ac:dyDescent="0.2">
      <c r="W18" s="34"/>
      <c r="X18" s="47"/>
      <c r="Y18" s="21"/>
      <c r="Z18" s="21"/>
      <c r="AA18" s="21"/>
      <c r="AB18" s="21"/>
      <c r="AC18" s="21"/>
      <c r="AD18" s="21"/>
      <c r="AE18" s="21"/>
      <c r="AF18" s="21"/>
    </row>
    <row r="19" spans="23:32" x14ac:dyDescent="0.2">
      <c r="W19" s="34"/>
      <c r="X19" s="47"/>
      <c r="Y19" s="21"/>
      <c r="Z19" s="21"/>
      <c r="AA19" s="21"/>
      <c r="AB19" s="21"/>
      <c r="AC19" s="21"/>
      <c r="AD19" s="21"/>
      <c r="AE19" s="21"/>
      <c r="AF19" s="21"/>
    </row>
    <row r="20" spans="23:32" x14ac:dyDescent="0.2">
      <c r="W20" s="34"/>
      <c r="X20" s="47"/>
      <c r="Y20" s="21"/>
      <c r="Z20" s="21"/>
      <c r="AA20" s="21"/>
      <c r="AB20" s="21"/>
      <c r="AC20" s="21"/>
      <c r="AD20" s="21"/>
      <c r="AE20" s="21"/>
      <c r="AF20" s="21"/>
    </row>
    <row r="21" spans="23:32" ht="15" x14ac:dyDescent="0.2">
      <c r="W21" s="55"/>
      <c r="X21" s="47"/>
      <c r="Y21" s="21"/>
      <c r="Z21" s="21"/>
      <c r="AA21" s="21"/>
      <c r="AB21" s="21"/>
      <c r="AC21" s="21"/>
      <c r="AD21" s="21"/>
      <c r="AE21" s="21"/>
      <c r="AF21" s="21"/>
    </row>
    <row r="22" spans="23:32" ht="15" x14ac:dyDescent="0.2">
      <c r="W22" s="34"/>
      <c r="X22" s="47"/>
      <c r="Y22" s="56"/>
      <c r="Z22" s="56"/>
      <c r="AA22" s="56"/>
      <c r="AB22" s="56"/>
      <c r="AC22" s="56"/>
      <c r="AD22" s="56"/>
      <c r="AE22" s="56"/>
      <c r="AF22" s="31"/>
    </row>
    <row r="23" spans="23:32" x14ac:dyDescent="0.2">
      <c r="W23" s="34"/>
      <c r="X23" s="47"/>
      <c r="Y23" s="21"/>
      <c r="Z23" s="21"/>
      <c r="AA23" s="21"/>
      <c r="AB23" s="21"/>
      <c r="AC23" s="21"/>
      <c r="AD23" s="21"/>
      <c r="AE23" s="21"/>
      <c r="AF23" s="21"/>
    </row>
    <row r="24" spans="23:32" x14ac:dyDescent="0.2">
      <c r="W24" s="34"/>
      <c r="X24" s="47"/>
      <c r="Y24" s="42"/>
      <c r="Z24" s="42"/>
      <c r="AA24" s="42"/>
      <c r="AB24" s="42"/>
      <c r="AC24" s="42"/>
      <c r="AD24" s="42"/>
      <c r="AE24" s="42"/>
      <c r="AF24" s="21"/>
    </row>
    <row r="25" spans="23:32" x14ac:dyDescent="0.2">
      <c r="W25" s="21"/>
      <c r="X25" s="42"/>
      <c r="Y25" s="42"/>
      <c r="Z25" s="42"/>
      <c r="AA25" s="42"/>
      <c r="AB25" s="42"/>
      <c r="AC25" s="42"/>
      <c r="AD25" s="42"/>
      <c r="AE25" s="42"/>
      <c r="AF25" s="32"/>
    </row>
    <row r="27" spans="23:32" x14ac:dyDescent="0.2">
      <c r="X27" s="38"/>
      <c r="Y27" s="38"/>
      <c r="Z27" s="38"/>
      <c r="AA27" s="38"/>
      <c r="AB27" s="38"/>
      <c r="AC27" s="38"/>
      <c r="AD27" s="38"/>
      <c r="AE27" s="38"/>
    </row>
    <row r="46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85" zoomScaleNormal="85" workbookViewId="0">
      <pane xSplit="1" topLeftCell="B1" activePane="topRight" state="frozen"/>
      <selection activeCell="A42" sqref="A42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13</vt:i4>
      </vt:variant>
    </vt:vector>
  </HeadingPairs>
  <TitlesOfParts>
    <vt:vector size="28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Evolución_Anual</vt:lpstr>
      <vt:lpstr>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Carátula!Área_de_impresión</vt:lpstr>
      <vt:lpstr>Impresión!Área_de_impresión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2023-12-19T07:17:41Z</dcterms:modified>
</cp:coreProperties>
</file>