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595"/>
  </bookViews>
  <sheets>
    <sheet name="74-409" sheetId="1" r:id="rId1"/>
  </sheets>
  <definedNames>
    <definedName name="_xlnm._FilterDatabase" localSheetId="0" hidden="1">'74-409'!$A$6:$Y$6</definedName>
  </definedNames>
  <calcPr calcId="145621"/>
</workbook>
</file>

<file path=xl/calcChain.xml><?xml version="1.0" encoding="utf-8"?>
<calcChain xmlns="http://schemas.openxmlformats.org/spreadsheetml/2006/main">
  <c r="W56" i="1" l="1"/>
  <c r="Y56" i="1" s="1"/>
  <c r="J56" i="1"/>
  <c r="I56" i="1"/>
  <c r="F56" i="1"/>
  <c r="E56" i="1"/>
  <c r="H56" i="1" s="1"/>
  <c r="W55" i="1"/>
  <c r="Y55" i="1" s="1"/>
  <c r="J55" i="1"/>
  <c r="I55" i="1"/>
  <c r="F55" i="1"/>
  <c r="E55" i="1"/>
  <c r="H55" i="1" s="1"/>
  <c r="W54" i="1"/>
  <c r="Y54" i="1" s="1"/>
  <c r="W53" i="1"/>
  <c r="Y53" i="1" s="1"/>
  <c r="W52" i="1"/>
  <c r="Y52" i="1" s="1"/>
  <c r="J52" i="1"/>
  <c r="I52" i="1"/>
  <c r="F52" i="1"/>
  <c r="V52" i="1" s="1"/>
  <c r="X52" i="1" s="1"/>
  <c r="E52" i="1"/>
  <c r="H52" i="1" s="1"/>
  <c r="W51" i="1"/>
  <c r="Y51" i="1" s="1"/>
  <c r="J51" i="1"/>
  <c r="I51" i="1"/>
  <c r="F51" i="1"/>
  <c r="E51" i="1"/>
  <c r="H51" i="1" s="1"/>
  <c r="W50" i="1"/>
  <c r="Y50" i="1" s="1"/>
  <c r="J50" i="1"/>
  <c r="I50" i="1"/>
  <c r="F50" i="1"/>
  <c r="V50" i="1" s="1"/>
  <c r="X50" i="1" s="1"/>
  <c r="E50" i="1"/>
  <c r="H50" i="1" s="1"/>
  <c r="W49" i="1"/>
  <c r="Y49" i="1" s="1"/>
  <c r="J49" i="1"/>
  <c r="I49" i="1"/>
  <c r="F49" i="1"/>
  <c r="E49" i="1"/>
  <c r="H49" i="1" s="1"/>
  <c r="W48" i="1"/>
  <c r="Y48" i="1" s="1"/>
  <c r="J48" i="1"/>
  <c r="I48" i="1"/>
  <c r="F48" i="1"/>
  <c r="V48" i="1" s="1"/>
  <c r="X48" i="1" s="1"/>
  <c r="E48" i="1"/>
  <c r="H48" i="1" s="1"/>
  <c r="W47" i="1"/>
  <c r="Y47" i="1" s="1"/>
  <c r="J47" i="1"/>
  <c r="I47" i="1"/>
  <c r="H47" i="1"/>
  <c r="F47" i="1"/>
  <c r="V47" i="1" s="1"/>
  <c r="X47" i="1" s="1"/>
  <c r="V46" i="1"/>
  <c r="X46" i="1" s="1"/>
  <c r="V45" i="1"/>
  <c r="X45" i="1" s="1"/>
  <c r="V44" i="1"/>
  <c r="X44" i="1" s="1"/>
  <c r="W43" i="1"/>
  <c r="Y43" i="1" s="1"/>
  <c r="V43" i="1"/>
  <c r="X43" i="1" s="1"/>
  <c r="V42" i="1"/>
  <c r="X42" i="1" s="1"/>
  <c r="W41" i="1"/>
  <c r="Y41" i="1" s="1"/>
  <c r="J41" i="1"/>
  <c r="I41" i="1"/>
  <c r="F41" i="1"/>
  <c r="V41" i="1" s="1"/>
  <c r="X41" i="1" s="1"/>
  <c r="E41" i="1"/>
  <c r="H41" i="1" s="1"/>
  <c r="W40" i="1"/>
  <c r="Y40" i="1" s="1"/>
  <c r="J40" i="1"/>
  <c r="I40" i="1"/>
  <c r="F40" i="1"/>
  <c r="E40" i="1"/>
  <c r="H40" i="1" s="1"/>
  <c r="W39" i="1"/>
  <c r="Y39" i="1" s="1"/>
  <c r="J39" i="1"/>
  <c r="I39" i="1"/>
  <c r="F39" i="1"/>
  <c r="V39" i="1" s="1"/>
  <c r="X39" i="1" s="1"/>
  <c r="E39" i="1"/>
  <c r="H39" i="1" s="1"/>
  <c r="W38" i="1"/>
  <c r="Y38" i="1" s="1"/>
  <c r="J38" i="1"/>
  <c r="H38" i="1"/>
  <c r="F38" i="1"/>
  <c r="V38" i="1" s="1"/>
  <c r="X38" i="1" s="1"/>
  <c r="W37" i="1"/>
  <c r="Y37" i="1" s="1"/>
  <c r="J37" i="1"/>
  <c r="I37" i="1"/>
  <c r="F37" i="1"/>
  <c r="E37" i="1"/>
  <c r="H37" i="1" s="1"/>
  <c r="W36" i="1"/>
  <c r="Y36" i="1" s="1"/>
  <c r="W35" i="1"/>
  <c r="Y35" i="1" s="1"/>
  <c r="W34" i="1"/>
  <c r="Y34" i="1" s="1"/>
  <c r="W33" i="1"/>
  <c r="Y33" i="1" s="1"/>
  <c r="W32" i="1"/>
  <c r="Y32" i="1" s="1"/>
  <c r="W31" i="1"/>
  <c r="Y31" i="1" s="1"/>
  <c r="V31" i="1"/>
  <c r="X31" i="1" s="1"/>
  <c r="W30" i="1"/>
  <c r="Y30" i="1" s="1"/>
  <c r="V30" i="1"/>
  <c r="X30" i="1" s="1"/>
  <c r="W29" i="1"/>
  <c r="Y29" i="1" s="1"/>
  <c r="V29" i="1"/>
  <c r="X29" i="1" s="1"/>
  <c r="W28" i="1"/>
  <c r="Y28" i="1" s="1"/>
  <c r="J28" i="1"/>
  <c r="I28" i="1"/>
  <c r="F28" i="1"/>
  <c r="E28" i="1"/>
  <c r="H28" i="1" s="1"/>
  <c r="W27" i="1"/>
  <c r="Y27" i="1" s="1"/>
  <c r="J27" i="1"/>
  <c r="I27" i="1"/>
  <c r="F27" i="1"/>
  <c r="V27" i="1" s="1"/>
  <c r="X27" i="1" s="1"/>
  <c r="E27" i="1"/>
  <c r="H27" i="1" s="1"/>
  <c r="W26" i="1"/>
  <c r="Y26" i="1" s="1"/>
  <c r="J26" i="1"/>
  <c r="I26" i="1"/>
  <c r="H26" i="1"/>
  <c r="F26" i="1"/>
  <c r="V26" i="1" s="1"/>
  <c r="X26" i="1" s="1"/>
  <c r="W25" i="1"/>
  <c r="Y25" i="1" s="1"/>
  <c r="J25" i="1"/>
  <c r="I25" i="1"/>
  <c r="H25" i="1"/>
  <c r="F25" i="1"/>
  <c r="V25" i="1" s="1"/>
  <c r="X25" i="1" s="1"/>
  <c r="W24" i="1"/>
  <c r="Y24" i="1" s="1"/>
  <c r="J24" i="1"/>
  <c r="I24" i="1"/>
  <c r="H24" i="1"/>
  <c r="F24" i="1"/>
  <c r="V24" i="1" s="1"/>
  <c r="X24" i="1" s="1"/>
  <c r="W23" i="1"/>
  <c r="Y23" i="1" s="1"/>
  <c r="M23" i="1"/>
  <c r="L23" i="1"/>
  <c r="K23" i="1"/>
  <c r="J23" i="1"/>
  <c r="I23" i="1"/>
  <c r="G23" i="1"/>
  <c r="F23" i="1"/>
  <c r="V23" i="1" s="1"/>
  <c r="X23" i="1" s="1"/>
  <c r="W22" i="1"/>
  <c r="Y22" i="1" s="1"/>
  <c r="J22" i="1"/>
  <c r="I22" i="1"/>
  <c r="V22" i="1" s="1"/>
  <c r="X22" i="1" s="1"/>
  <c r="F22" i="1"/>
  <c r="W21" i="1"/>
  <c r="Y21" i="1" s="1"/>
  <c r="J21" i="1"/>
  <c r="I21" i="1"/>
  <c r="F21" i="1"/>
  <c r="V21" i="1" s="1"/>
  <c r="X21" i="1" s="1"/>
  <c r="W20" i="1"/>
  <c r="Y20" i="1" s="1"/>
  <c r="J20" i="1"/>
  <c r="I20" i="1"/>
  <c r="F20" i="1"/>
  <c r="V20" i="1" s="1"/>
  <c r="X20" i="1" s="1"/>
  <c r="E20" i="1"/>
  <c r="H20" i="1" s="1"/>
  <c r="W19" i="1"/>
  <c r="Y19" i="1" s="1"/>
  <c r="J19" i="1"/>
  <c r="I19" i="1"/>
  <c r="F19" i="1"/>
  <c r="E19" i="1"/>
  <c r="H19" i="1" s="1"/>
  <c r="W18" i="1"/>
  <c r="Y18" i="1" s="1"/>
  <c r="J18" i="1"/>
  <c r="I18" i="1"/>
  <c r="F18" i="1"/>
  <c r="V18" i="1" s="1"/>
  <c r="X18" i="1" s="1"/>
  <c r="E18" i="1"/>
  <c r="H18" i="1" s="1"/>
  <c r="W17" i="1"/>
  <c r="Y17" i="1" s="1"/>
  <c r="J17" i="1"/>
  <c r="I17" i="1"/>
  <c r="F17" i="1"/>
  <c r="E17" i="1"/>
  <c r="H17" i="1" s="1"/>
  <c r="W16" i="1"/>
  <c r="Y16" i="1" s="1"/>
  <c r="K16" i="1"/>
  <c r="J16" i="1"/>
  <c r="I16" i="1"/>
  <c r="H16" i="1"/>
  <c r="G16" i="1"/>
  <c r="F16" i="1"/>
  <c r="V16" i="1" s="1"/>
  <c r="X16" i="1" s="1"/>
  <c r="W15" i="1"/>
  <c r="Y15" i="1" s="1"/>
  <c r="J15" i="1"/>
  <c r="I15" i="1"/>
  <c r="F15" i="1"/>
  <c r="E15" i="1"/>
  <c r="H15" i="1" s="1"/>
  <c r="W14" i="1"/>
  <c r="Y14" i="1" s="1"/>
  <c r="J14" i="1"/>
  <c r="H14" i="1"/>
  <c r="G14" i="1"/>
  <c r="F14" i="1"/>
  <c r="V14" i="1" s="1"/>
  <c r="X14" i="1" s="1"/>
  <c r="W13" i="1"/>
  <c r="Y13" i="1" s="1"/>
  <c r="J13" i="1"/>
  <c r="I13" i="1"/>
  <c r="F13" i="1"/>
  <c r="E13" i="1"/>
  <c r="H13" i="1" s="1"/>
  <c r="W12" i="1"/>
  <c r="Y12" i="1" s="1"/>
  <c r="I12" i="1"/>
  <c r="F12" i="1"/>
  <c r="E12" i="1"/>
  <c r="J12" i="1" s="1"/>
  <c r="Y11" i="1"/>
  <c r="W11" i="1"/>
  <c r="J11" i="1"/>
  <c r="I11" i="1"/>
  <c r="F11" i="1"/>
  <c r="E11" i="1"/>
  <c r="H11" i="1" s="1"/>
  <c r="W10" i="1"/>
  <c r="Y10" i="1" s="1"/>
  <c r="J10" i="1"/>
  <c r="H10" i="1"/>
  <c r="F10" i="1"/>
  <c r="V10" i="1" s="1"/>
  <c r="X10" i="1" s="1"/>
  <c r="W9" i="1"/>
  <c r="Y9" i="1" s="1"/>
  <c r="J9" i="1"/>
  <c r="I9" i="1"/>
  <c r="F9" i="1"/>
  <c r="V9" i="1" s="1"/>
  <c r="X9" i="1" s="1"/>
  <c r="E9" i="1"/>
  <c r="H9" i="1" s="1"/>
  <c r="W8" i="1"/>
  <c r="Y8" i="1" s="1"/>
  <c r="J8" i="1"/>
  <c r="I8" i="1"/>
  <c r="F8" i="1"/>
  <c r="E8" i="1"/>
  <c r="H8" i="1" s="1"/>
  <c r="W7" i="1"/>
  <c r="Y7" i="1" s="1"/>
  <c r="J7" i="1"/>
  <c r="I7" i="1"/>
  <c r="H7" i="1"/>
  <c r="F7" i="1"/>
  <c r="V7" i="1" s="1"/>
  <c r="X7" i="1" s="1"/>
  <c r="V8" i="1" l="1"/>
  <c r="X8" i="1" s="1"/>
  <c r="V11" i="1"/>
  <c r="X11" i="1" s="1"/>
  <c r="V13" i="1"/>
  <c r="X13" i="1" s="1"/>
  <c r="V56" i="1"/>
  <c r="X56" i="1" s="1"/>
  <c r="V15" i="1"/>
  <c r="X15" i="1" s="1"/>
  <c r="V17" i="1"/>
  <c r="X17" i="1" s="1"/>
  <c r="V19" i="1"/>
  <c r="X19" i="1" s="1"/>
  <c r="V28" i="1"/>
  <c r="X28" i="1" s="1"/>
  <c r="V37" i="1"/>
  <c r="X37" i="1" s="1"/>
  <c r="V40" i="1"/>
  <c r="X40" i="1" s="1"/>
  <c r="V49" i="1"/>
  <c r="X49" i="1" s="1"/>
  <c r="V51" i="1"/>
  <c r="X51" i="1" s="1"/>
  <c r="V55" i="1"/>
  <c r="X55" i="1" s="1"/>
  <c r="H12" i="1"/>
  <c r="V12" i="1" s="1"/>
  <c r="X12" i="1" s="1"/>
  <c r="V32" i="1"/>
  <c r="X32" i="1" s="1"/>
  <c r="V33" i="1"/>
  <c r="X33" i="1" s="1"/>
  <c r="V34" i="1"/>
  <c r="X34" i="1" s="1"/>
  <c r="V35" i="1"/>
  <c r="X35" i="1" s="1"/>
  <c r="V36" i="1"/>
  <c r="X36" i="1" s="1"/>
  <c r="W42" i="1"/>
  <c r="Y42" i="1" s="1"/>
  <c r="W44" i="1"/>
  <c r="Y44" i="1" s="1"/>
  <c r="W45" i="1"/>
  <c r="Y45" i="1" s="1"/>
  <c r="W46" i="1"/>
  <c r="Y46" i="1" s="1"/>
  <c r="V53" i="1"/>
  <c r="X53" i="1" s="1"/>
  <c r="V54" i="1"/>
  <c r="X54" i="1" s="1"/>
</calcChain>
</file>

<file path=xl/comments1.xml><?xml version="1.0" encoding="utf-8"?>
<comments xmlns="http://schemas.openxmlformats.org/spreadsheetml/2006/main">
  <authors>
    <author>ttec</author>
    <author>nom</author>
    <author>RSALAS2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2">
      <text>
        <r>
          <rPr>
            <b/>
            <sz val="8"/>
            <color indexed="81"/>
            <rFont val="Tahoma"/>
            <family val="2"/>
          </rPr>
          <t>Parámetro del modelo de ecuaciones canarias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6" authorId="2">
      <text>
        <r>
          <rPr>
            <b/>
            <sz val="8"/>
            <color indexed="81"/>
            <rFont val="Tahoma"/>
            <family val="2"/>
          </rPr>
          <t>Parámetro del modelo de ecuaciones canarias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6" authorId="2">
      <text>
        <r>
          <rPr>
            <b/>
            <sz val="8"/>
            <color indexed="81"/>
            <rFont val="Tahoma"/>
            <family val="2"/>
          </rPr>
          <t xml:space="preserve">Parámetro del modelo de ecuaciones canarias
</t>
        </r>
      </text>
    </comment>
    <comment ref="Q6" authorId="2">
      <text>
        <r>
          <rPr>
            <b/>
            <sz val="8"/>
            <color indexed="81"/>
            <rFont val="Tahoma"/>
            <family val="2"/>
          </rPr>
          <t xml:space="preserve">Parámetro del modelo de ecuaciones canarias
</t>
        </r>
      </text>
    </comment>
    <comment ref="R6" authorId="2">
      <text>
        <r>
          <rPr>
            <b/>
            <sz val="8"/>
            <color indexed="81"/>
            <rFont val="Tahoma"/>
            <family val="2"/>
          </rPr>
          <t xml:space="preserve">Parámetro del modelo de ecuaciones canarias para raíces
</t>
        </r>
      </text>
    </comment>
    <comment ref="S6" authorId="2">
      <text>
        <r>
          <rPr>
            <b/>
            <sz val="8"/>
            <color indexed="81"/>
            <rFont val="Tahoma"/>
            <family val="2"/>
          </rPr>
          <t>Parámetro del modelo de ecuaciones canarias para raíces</t>
        </r>
      </text>
    </comment>
    <comment ref="T6" authorId="2">
      <text>
        <r>
          <rPr>
            <b/>
            <sz val="8"/>
            <color indexed="81"/>
            <rFont val="Tahoma"/>
            <family val="2"/>
          </rPr>
          <t>Parámetro del modelo de ecuaciones canarias para raíces</t>
        </r>
      </text>
    </comment>
    <comment ref="U6" authorId="2">
      <text>
        <r>
          <rPr>
            <b/>
            <sz val="8"/>
            <color indexed="81"/>
            <rFont val="Tahoma"/>
            <family val="2"/>
          </rPr>
          <t>Parámetro del modelo de ecuaciones canarias para raíces</t>
        </r>
      </text>
    </comment>
    <comment ref="V6" author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W6" author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6" author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Y6" author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<sst xmlns="http://schemas.openxmlformats.org/spreadsheetml/2006/main" count="127" uniqueCount="127">
  <si>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</si>
  <si>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</si>
  <si>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</si>
  <si>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</si>
  <si>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</si>
  <si>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</si>
  <si>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</si>
  <si>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</si>
  <si>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</si>
  <si>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</si>
  <si>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</si>
  <si>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</si>
  <si>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</si>
  <si>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023</t>
  </si>
  <si>
    <t>Pinus pinea</t>
  </si>
  <si>
    <t>058</t>
  </si>
  <si>
    <t>066</t>
  </si>
  <si>
    <t>CÓD ESPECIE</t>
  </si>
  <si>
    <t>ESPECIE</t>
  </si>
  <si>
    <t>051</t>
  </si>
  <si>
    <t>056</t>
  </si>
  <si>
    <t>057</t>
  </si>
  <si>
    <t>075</t>
  </si>
  <si>
    <t>095</t>
  </si>
  <si>
    <t>395</t>
  </si>
  <si>
    <t>Populus nigra</t>
  </si>
  <si>
    <t>Olea europaea</t>
  </si>
  <si>
    <t>C aéreo (Kg)</t>
  </si>
  <si>
    <t>C radical (Kg)</t>
  </si>
  <si>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</si>
  <si>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comunidad autónoma.</t>
  </si>
  <si>
    <t>072</t>
  </si>
  <si>
    <t>061</t>
  </si>
  <si>
    <t>062</t>
  </si>
  <si>
    <t>299</t>
  </si>
  <si>
    <t>307</t>
  </si>
  <si>
    <t>Eucalyptus globulus</t>
  </si>
  <si>
    <t>Castanea sativa</t>
  </si>
  <si>
    <t>Acacia dealbata</t>
  </si>
  <si>
    <t>Eucalyptus camaldulensis</t>
  </si>
  <si>
    <t>Ficus carica</t>
  </si>
  <si>
    <t>Juglans regia</t>
  </si>
  <si>
    <t>Populus alba</t>
  </si>
  <si>
    <t>Prunus avium</t>
  </si>
  <si>
    <t>Prunus spp.</t>
  </si>
  <si>
    <t>Salix spp.</t>
  </si>
  <si>
    <t>Ulmus minor</t>
  </si>
  <si>
    <t>495</t>
  </si>
  <si>
    <t>Prunus lusitanica</t>
  </si>
  <si>
    <t>α</t>
  </si>
  <si>
    <t>a</t>
  </si>
  <si>
    <t>b</t>
  </si>
  <si>
    <t>c</t>
  </si>
  <si>
    <t>α (raíces)</t>
  </si>
  <si>
    <t>a (raíces)</t>
  </si>
  <si>
    <t>b (raíces)</t>
  </si>
  <si>
    <t>c (raíces)</t>
  </si>
  <si>
    <t>001</t>
  </si>
  <si>
    <t>Heberdenia bahamensis</t>
  </si>
  <si>
    <t>007</t>
  </si>
  <si>
    <t>Acacia spp.</t>
  </si>
  <si>
    <t>012</t>
  </si>
  <si>
    <t>Malus sylvestris</t>
  </si>
  <si>
    <t>017</t>
  </si>
  <si>
    <t>Cedrus atlantica</t>
  </si>
  <si>
    <t>024</t>
  </si>
  <si>
    <t>Pinus halepensis</t>
  </si>
  <si>
    <t>027</t>
  </si>
  <si>
    <t>Pinus canariensis</t>
  </si>
  <si>
    <t>028</t>
  </si>
  <si>
    <t>Pinus radiata</t>
  </si>
  <si>
    <t>036</t>
  </si>
  <si>
    <t>Cupressus sempervirens</t>
  </si>
  <si>
    <t>041</t>
  </si>
  <si>
    <t>Quercus robur</t>
  </si>
  <si>
    <t>064</t>
  </si>
  <si>
    <t>Eucalyptus nitens</t>
  </si>
  <si>
    <t>067</t>
  </si>
  <si>
    <t>Ceratonia siliqua</t>
  </si>
  <si>
    <t>069</t>
  </si>
  <si>
    <t>Phoenix spp.</t>
  </si>
  <si>
    <t>081</t>
  </si>
  <si>
    <t>Myrica faya</t>
  </si>
  <si>
    <t>082</t>
  </si>
  <si>
    <t>Ilex canariensis</t>
  </si>
  <si>
    <t>083</t>
  </si>
  <si>
    <t>Erica arborea</t>
  </si>
  <si>
    <t>084</t>
  </si>
  <si>
    <t>Persea indica</t>
  </si>
  <si>
    <t>086</t>
  </si>
  <si>
    <t>Picconia excelsa</t>
  </si>
  <si>
    <t>087</t>
  </si>
  <si>
    <t>Ocotea phoetens</t>
  </si>
  <si>
    <t>088</t>
  </si>
  <si>
    <t>Apollonias barbujana</t>
  </si>
  <si>
    <t>089</t>
  </si>
  <si>
    <t>Otras laurisilvas</t>
  </si>
  <si>
    <t>092</t>
  </si>
  <si>
    <t>Robinia pseudoacacia</t>
  </si>
  <si>
    <t>094</t>
  </si>
  <si>
    <t>Laurus nobilis</t>
  </si>
  <si>
    <t>099</t>
  </si>
  <si>
    <t>Otras frondosas</t>
  </si>
  <si>
    <t>238</t>
  </si>
  <si>
    <t>Juniperus turbinata</t>
  </si>
  <si>
    <t>253</t>
  </si>
  <si>
    <t>Tamarix canariensis</t>
  </si>
  <si>
    <t>268</t>
  </si>
  <si>
    <t>Arbutus canariensis</t>
  </si>
  <si>
    <t>282</t>
  </si>
  <si>
    <t>Ilex platyphylla</t>
  </si>
  <si>
    <t>283</t>
  </si>
  <si>
    <t>Erica scoparia</t>
  </si>
  <si>
    <t>294</t>
  </si>
  <si>
    <t>Laurus azorica</t>
  </si>
  <si>
    <t>337</t>
  </si>
  <si>
    <t>Juniperus cedrus</t>
  </si>
  <si>
    <t>389</t>
  </si>
  <si>
    <t>Rhamnus glandulosa</t>
  </si>
  <si>
    <t>436</t>
  </si>
  <si>
    <t>Cupressus macrocarpa</t>
  </si>
  <si>
    <t>469</t>
  </si>
  <si>
    <t>Phoenix canariensis</t>
  </si>
  <si>
    <t>489</t>
  </si>
  <si>
    <t>Visnea mocarena</t>
  </si>
  <si>
    <t>858</t>
  </si>
  <si>
    <t>Salix canariensis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</si>
</sst>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6" fillId="3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14" fillId="0" borderId="8" applyNumberFormat="0" applyFill="0" applyAlignment="0" applyProtection="0"/>
    <xf numFmtId="0" fontId="24" fillId="0" borderId="9" applyNumberFormat="0" applyFill="0" applyAlignment="0" applyProtection="0"/>
    <xf numFmtId="0" fontId="2" fillId="0" borderId="0"/>
    <xf numFmtId="0" fontId="1" fillId="0" borderId="0"/>
    <xf numFmtId="0" fontId="27" fillId="0" borderId="0"/>
  </cellStyleXfs>
  <cellXfs count="22">
    <xf numFmtId="0" fontId="0" fillId="0" borderId="0" xfId="0"/>
    <xf numFmtId="0" fontId="3" fillId="24" borderId="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/>
    <xf numFmtId="4" fontId="0" fillId="0" borderId="0" xfId="0" applyNumberFormat="1" applyFill="1" applyBorder="1" applyProtection="1"/>
    <xf numFmtId="164" fontId="3" fillId="0" borderId="0" xfId="0" applyNumberFormat="1" applyFont="1" applyFill="1" applyBorder="1" applyProtection="1"/>
    <xf numFmtId="0" fontId="0" fillId="0" borderId="0" xfId="0" applyProtection="1"/>
    <xf numFmtId="164" fontId="26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 vertical="center"/>
    </xf>
    <xf numFmtId="4" fontId="3" fillId="26" borderId="0" xfId="0" applyNumberFormat="1" applyFont="1" applyFill="1" applyBorder="1" applyAlignment="1" applyProtection="1">
      <alignment horizontal="center" vertical="center"/>
    </xf>
    <xf numFmtId="4" fontId="3" fillId="25" borderId="0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165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Border="1"/>
    <xf numFmtId="0" fontId="0" fillId="27" borderId="0" xfId="0" applyFill="1" applyBorder="1"/>
    <xf numFmtId="4" fontId="0" fillId="27" borderId="0" xfId="0" applyNumberFormat="1" applyFill="1" applyBorder="1"/>
    <xf numFmtId="165" fontId="0" fillId="0" borderId="0" xfId="0" applyNumberFormat="1" applyBorder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2" xfId="42"/>
    <cellStyle name="Normal 2 2" xfId="44"/>
    <cellStyle name="Normal 3" xfId="43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8"/>
  <sheetViews>
    <sheetView tabSelected="1" workbookViewId="0">
      <selection activeCell="L12" sqref="L12"/>
    </sheetView>
  </sheetViews>
  <sheetFormatPr baseColWidth="10" defaultRowHeight="12.75" x14ac:dyDescent="0.2"/>
  <cols>
    <col min="1" max="2" width="11.42578125" style="6"/>
    <col min="5" max="5" width="11.42578125" style="6"/>
    <col min="6" max="21" width="11.42578125" style="14"/>
    <col min="22" max="22" width="18" style="14" customWidth="1"/>
    <col min="23" max="23" width="11.42578125" style="14"/>
    <col min="24" max="24" width="13.140625" style="14" customWidth="1"/>
    <col min="25" max="25" width="12.85546875" style="14" customWidth="1"/>
  </cols>
  <sheetData>
    <row r="1" spans="1:25" x14ac:dyDescent="0.2">
      <c r="A1" s="5" t="s">
        <v>29</v>
      </c>
    </row>
    <row r="3" spans="1:25" x14ac:dyDescent="0.2">
      <c r="A3" s="7" t="s">
        <v>30</v>
      </c>
    </row>
    <row r="6" spans="1:25" ht="14.25" x14ac:dyDescent="0.2">
      <c r="A6" s="8" t="s">
        <v>17</v>
      </c>
      <c r="B6" s="9" t="s">
        <v>18</v>
      </c>
      <c r="C6" s="1" t="s">
        <v>0</v>
      </c>
      <c r="D6" s="1" t="s">
        <v>1</v>
      </c>
      <c r="E6" s="11" t="s">
        <v>2</v>
      </c>
      <c r="F6" s="13" t="s">
        <v>3</v>
      </c>
      <c r="G6" s="13" t="s">
        <v>4</v>
      </c>
      <c r="H6" s="13" t="s">
        <v>5</v>
      </c>
      <c r="I6" s="13" t="s">
        <v>6</v>
      </c>
      <c r="J6" s="13" t="s">
        <v>7</v>
      </c>
      <c r="K6" s="13" t="s">
        <v>8</v>
      </c>
      <c r="L6" s="13" t="s">
        <v>9</v>
      </c>
      <c r="M6" s="13" t="s">
        <v>10</v>
      </c>
      <c r="N6" s="13" t="s">
        <v>49</v>
      </c>
      <c r="O6" s="13" t="s">
        <v>50</v>
      </c>
      <c r="P6" s="13" t="s">
        <v>51</v>
      </c>
      <c r="Q6" s="13" t="s">
        <v>52</v>
      </c>
      <c r="R6" s="13" t="s">
        <v>53</v>
      </c>
      <c r="S6" s="13" t="s">
        <v>54</v>
      </c>
      <c r="T6" s="13" t="s">
        <v>55</v>
      </c>
      <c r="U6" s="13" t="s">
        <v>56</v>
      </c>
      <c r="V6" s="12" t="s">
        <v>11</v>
      </c>
      <c r="W6" s="12" t="s">
        <v>12</v>
      </c>
      <c r="X6" s="12" t="s">
        <v>27</v>
      </c>
      <c r="Y6" s="12" t="s">
        <v>28</v>
      </c>
    </row>
    <row r="7" spans="1:25" x14ac:dyDescent="0.2">
      <c r="A7" s="16" t="s">
        <v>57</v>
      </c>
      <c r="B7" s="17" t="s">
        <v>58</v>
      </c>
      <c r="C7" s="18">
        <v>40</v>
      </c>
      <c r="D7" s="18">
        <v>10</v>
      </c>
      <c r="E7" s="19"/>
      <c r="F7" s="20">
        <f>0.0114*POWER(C7,2)*D7</f>
        <v>182.40000000000003</v>
      </c>
      <c r="G7" s="20"/>
      <c r="H7" s="20">
        <f>0.0108*POWER(C7,2)*D7</f>
        <v>172.8</v>
      </c>
      <c r="I7" s="20">
        <f>1.672*C7</f>
        <v>66.88</v>
      </c>
      <c r="J7" s="20">
        <f>0.0354*POWER(C7,2)+1.187*D7</f>
        <v>68.510000000000005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>
        <f>F7+G7+H7+I7+J7+K7+L7</f>
        <v>490.59000000000003</v>
      </c>
      <c r="W7" s="20">
        <f>0.147*POWER(C7,2)</f>
        <v>235.2</v>
      </c>
      <c r="X7" s="20">
        <f>V7/2</f>
        <v>245.29500000000002</v>
      </c>
      <c r="Y7" s="20">
        <f>W7/2</f>
        <v>117.6</v>
      </c>
    </row>
    <row r="8" spans="1:25" x14ac:dyDescent="0.2">
      <c r="A8" s="16" t="s">
        <v>59</v>
      </c>
      <c r="B8" s="17" t="s">
        <v>60</v>
      </c>
      <c r="C8" s="18">
        <v>40</v>
      </c>
      <c r="D8" s="18">
        <v>10</v>
      </c>
      <c r="E8" s="19">
        <f>IF(C8&gt;12.5,1,0)</f>
        <v>1</v>
      </c>
      <c r="F8" s="20">
        <f>0.0296*POWER(C8,2)*D8</f>
        <v>473.6</v>
      </c>
      <c r="G8" s="20"/>
      <c r="H8" s="20">
        <f>0.231*POWER((C8-12.5),2)*E8</f>
        <v>174.69374999999999</v>
      </c>
      <c r="I8" s="20">
        <f>0.0925*POWER(C8,2)</f>
        <v>148</v>
      </c>
      <c r="J8" s="20">
        <f>2.005*C8</f>
        <v>80.199999999999989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>
        <f>F8+G8+H8+I8+J8+K8+L8</f>
        <v>876.49375000000009</v>
      </c>
      <c r="W8" s="20">
        <f>0.359*POWER(C8,2)</f>
        <v>574.4</v>
      </c>
      <c r="X8" s="20">
        <f>+V8/2</f>
        <v>438.24687500000005</v>
      </c>
      <c r="Y8" s="20">
        <f>+W8/2</f>
        <v>287.2</v>
      </c>
    </row>
    <row r="9" spans="1:25" x14ac:dyDescent="0.2">
      <c r="A9" s="16" t="s">
        <v>61</v>
      </c>
      <c r="B9" s="17" t="s">
        <v>62</v>
      </c>
      <c r="C9" s="18">
        <v>40</v>
      </c>
      <c r="D9" s="18">
        <v>10</v>
      </c>
      <c r="E9" s="19">
        <f>IF(C9&gt;12.5,1,0)</f>
        <v>1</v>
      </c>
      <c r="F9" s="20">
        <f>0.0296*POWER(C9,2)*D9</f>
        <v>473.6</v>
      </c>
      <c r="G9" s="20"/>
      <c r="H9" s="20">
        <f>0.231*POWER((C9-12.5),2)*E9</f>
        <v>174.69374999999999</v>
      </c>
      <c r="I9" s="20">
        <f>0.0925*POWER(C9,2)</f>
        <v>148</v>
      </c>
      <c r="J9" s="20">
        <f>2.005*C9</f>
        <v>80.199999999999989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f>F9+G9+H9+I9+J9+K9+L9</f>
        <v>876.49375000000009</v>
      </c>
      <c r="W9" s="20">
        <f>0.359*POWER(C9,2)</f>
        <v>574.4</v>
      </c>
      <c r="X9" s="20">
        <f>+V9/2</f>
        <v>438.24687500000005</v>
      </c>
      <c r="Y9" s="20">
        <f>+W9/2</f>
        <v>287.2</v>
      </c>
    </row>
    <row r="10" spans="1:25" x14ac:dyDescent="0.2">
      <c r="A10" s="16" t="s">
        <v>63</v>
      </c>
      <c r="B10" s="17" t="s">
        <v>64</v>
      </c>
      <c r="C10" s="18">
        <v>40</v>
      </c>
      <c r="D10" s="18">
        <v>10</v>
      </c>
      <c r="E10" s="19"/>
      <c r="F10" s="20">
        <f>0.0189*POWER(C10,2)*D10</f>
        <v>302.40000000000003</v>
      </c>
      <c r="G10" s="20"/>
      <c r="H10" s="20">
        <f>0.0584*POWER(C10,2)</f>
        <v>93.44</v>
      </c>
      <c r="I10" s="20"/>
      <c r="J10" s="20">
        <f>0.0371*POWER(C10,2)+0.968*D10</f>
        <v>69.039999999999992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>
        <f>F10+G10+H10+I10+J10+K10+L10</f>
        <v>464.88</v>
      </c>
      <c r="W10" s="20">
        <f>0.101*POWER(C10,2)</f>
        <v>161.60000000000002</v>
      </c>
      <c r="X10" s="20">
        <f>V10/2</f>
        <v>232.44</v>
      </c>
      <c r="Y10" s="20">
        <f>W10/2</f>
        <v>80.800000000000011</v>
      </c>
    </row>
    <row r="11" spans="1:25" x14ac:dyDescent="0.2">
      <c r="A11" s="16" t="s">
        <v>13</v>
      </c>
      <c r="B11" s="17" t="s">
        <v>14</v>
      </c>
      <c r="C11" s="18">
        <v>40</v>
      </c>
      <c r="D11" s="18">
        <v>10</v>
      </c>
      <c r="E11" s="19">
        <f>IF(C11&gt;22.5,1,0)</f>
        <v>1</v>
      </c>
      <c r="F11" s="20">
        <f>0.0224*POWER(C11,1.923)*POWER(D11,1.0193)</f>
        <v>282.03913994231584</v>
      </c>
      <c r="G11" s="20"/>
      <c r="H11" s="20">
        <f>0.247*POWER((C11-22.5),2)*E11</f>
        <v>75.643749999999997</v>
      </c>
      <c r="I11" s="20">
        <f>0.0525*POWER(C11,2)</f>
        <v>84</v>
      </c>
      <c r="J11" s="20">
        <f>21.927+0.0707*POWER(C11,2)-2.827*D11</f>
        <v>106.777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>
        <f>F11+G11+H11+I11+J11+K11+L11</f>
        <v>548.45988994231584</v>
      </c>
      <c r="W11" s="20">
        <f>0.117*POWER(C11,2)</f>
        <v>187.20000000000002</v>
      </c>
      <c r="X11" s="20">
        <f>V11/2</f>
        <v>274.22994497115792</v>
      </c>
      <c r="Y11" s="20">
        <f>W11/2</f>
        <v>93.600000000000009</v>
      </c>
    </row>
    <row r="12" spans="1:25" x14ac:dyDescent="0.2">
      <c r="A12" s="16" t="s">
        <v>65</v>
      </c>
      <c r="B12" s="17" t="s">
        <v>66</v>
      </c>
      <c r="C12" s="18">
        <v>40</v>
      </c>
      <c r="D12" s="18">
        <v>10</v>
      </c>
      <c r="E12" s="19">
        <f>IF(C12&gt;27.5,1,0)</f>
        <v>1</v>
      </c>
      <c r="F12" s="20">
        <f>0.0139*POWER(C12,2)*D12</f>
        <v>222.39999999999998</v>
      </c>
      <c r="G12" s="20"/>
      <c r="H12" s="20">
        <f>3.926*(C12-27.5)*E12</f>
        <v>49.075000000000003</v>
      </c>
      <c r="I12" s="20">
        <f>4.257+0.00506*POWER(C12,2)*D12-0.0722*C12*D12</f>
        <v>56.337000000000018</v>
      </c>
      <c r="J12" s="20">
        <f>6.197+0.00932*POWER(D12,2)*E12-0.0686*D12*E12</f>
        <v>6.4430000000000005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>
        <f>F12+G12+H12+I12+J12+K12+L12</f>
        <v>334.255</v>
      </c>
      <c r="W12" s="20">
        <f>0.0785*POWER(C12,2)</f>
        <v>125.6</v>
      </c>
      <c r="X12" s="20">
        <f>+V12/2</f>
        <v>167.1275</v>
      </c>
      <c r="Y12" s="20">
        <f>+W12/2</f>
        <v>62.8</v>
      </c>
    </row>
    <row r="13" spans="1:25" x14ac:dyDescent="0.2">
      <c r="A13" s="16" t="s">
        <v>67</v>
      </c>
      <c r="B13" s="17" t="s">
        <v>68</v>
      </c>
      <c r="C13" s="18">
        <v>40</v>
      </c>
      <c r="D13" s="18">
        <v>10</v>
      </c>
      <c r="E13" s="19">
        <f>IF(C13&gt;37.5,1,0)</f>
        <v>1</v>
      </c>
      <c r="F13" s="20">
        <f>0.0154*POWER(C13,2)*D13</f>
        <v>246.4</v>
      </c>
      <c r="G13" s="20"/>
      <c r="H13" s="20">
        <f>(0.54*POWER((C13-37.5),2)-0.0119*POWER((C13-37.5),2)*D13)*E13</f>
        <v>2.6312499999999996</v>
      </c>
      <c r="I13" s="20">
        <f>0.0295*POWER(C13,2.742)*POWER(D13,-0.899)</f>
        <v>91.975151570470118</v>
      </c>
      <c r="J13" s="20">
        <f>0.53*POWER(C13,2.199)*POWER(D13,-1.153)</f>
        <v>124.22408042163688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>
        <f>F13+G13+H13+I13+J13+K13+L13</f>
        <v>465.230481992107</v>
      </c>
      <c r="W13" s="20">
        <f>0.13*POWER(C13,2)</f>
        <v>208</v>
      </c>
      <c r="X13" s="20">
        <f>V13/2</f>
        <v>232.6152409960535</v>
      </c>
      <c r="Y13" s="20">
        <f>W13/2</f>
        <v>104</v>
      </c>
    </row>
    <row r="14" spans="1:25" x14ac:dyDescent="0.2">
      <c r="A14" s="16" t="s">
        <v>69</v>
      </c>
      <c r="B14" s="17" t="s">
        <v>70</v>
      </c>
      <c r="C14" s="18">
        <v>40</v>
      </c>
      <c r="D14" s="18">
        <v>10</v>
      </c>
      <c r="E14" s="19"/>
      <c r="F14" s="20">
        <f>0.0123*POWER(C14,1.6042)*POWER(D14,1.4131)</f>
        <v>118.31225978163843</v>
      </c>
      <c r="G14" s="20">
        <f>0.0036*POWER(C14,2.6564)</f>
        <v>64.86563317404476</v>
      </c>
      <c r="H14" s="20">
        <f>1.937699+0.001065*POWER(C14,2)*D14</f>
        <v>18.977698999999998</v>
      </c>
      <c r="I14" s="20"/>
      <c r="J14" s="20">
        <f>0.0363*POWER(C14,2.6091)*POWER(D14,-0.9417)+0.0423*POWER(C14,1.7141)</f>
        <v>86.400178333400092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>
        <f>F14+G14+H14+I14+J14+K14+L14</f>
        <v>288.55577028908328</v>
      </c>
      <c r="W14" s="20">
        <f>0.0078*POWER(C14,1.9606)</f>
        <v>10.791788409198292</v>
      </c>
      <c r="X14" s="20">
        <f>+V14/2</f>
        <v>144.27788514454164</v>
      </c>
      <c r="Y14" s="20">
        <f>+W14/2</f>
        <v>5.3958942045991458</v>
      </c>
    </row>
    <row r="15" spans="1:25" x14ac:dyDescent="0.2">
      <c r="A15" s="16" t="s">
        <v>71</v>
      </c>
      <c r="B15" s="17" t="s">
        <v>72</v>
      </c>
      <c r="C15" s="18">
        <v>40</v>
      </c>
      <c r="D15" s="18">
        <v>10</v>
      </c>
      <c r="E15" s="19">
        <f>IF(C15&gt;22.5,1,0)</f>
        <v>1</v>
      </c>
      <c r="F15" s="20">
        <f>0.0132*POWER(C15,2)*D15+0.217*C15*D15</f>
        <v>298</v>
      </c>
      <c r="G15" s="20"/>
      <c r="H15" s="20">
        <f>0.107*POWER((C15-22.5),2)*E15</f>
        <v>32.768749999999997</v>
      </c>
      <c r="I15" s="20">
        <f>0.00792*POWER(C15,2)*D15</f>
        <v>126.72</v>
      </c>
      <c r="J15" s="20">
        <f>0.273*C15*D15</f>
        <v>109.20000000000002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>
        <f>F15+G15+H15+I15+J15+K15+L15</f>
        <v>566.68875000000003</v>
      </c>
      <c r="W15" s="20">
        <f>0.0767*POWER(C15,2)</f>
        <v>122.72000000000001</v>
      </c>
      <c r="X15" s="20">
        <f>+V15/2</f>
        <v>283.34437500000001</v>
      </c>
      <c r="Y15" s="20">
        <f>+W15/2</f>
        <v>61.360000000000007</v>
      </c>
    </row>
    <row r="16" spans="1:25" x14ac:dyDescent="0.2">
      <c r="A16" s="16" t="s">
        <v>73</v>
      </c>
      <c r="B16" s="17" t="s">
        <v>74</v>
      </c>
      <c r="C16" s="18">
        <v>40</v>
      </c>
      <c r="D16" s="18">
        <v>10</v>
      </c>
      <c r="E16" s="19"/>
      <c r="F16" s="20">
        <f>-5.714+0.018*POWER(C16,2)*D16</f>
        <v>282.286</v>
      </c>
      <c r="G16" s="20">
        <f>-1.5+0.032*POWER(C16,2)+0.001*POWER(C16,2)*D16</f>
        <v>65.7</v>
      </c>
      <c r="H16" s="20">
        <f>0.000000003427*POWER((C16*C16*D16),2.31)</f>
        <v>17.637265979966916</v>
      </c>
      <c r="I16" s="20">
        <f>4.268+0.003*POWER(C16,2)*D16</f>
        <v>52.268000000000001</v>
      </c>
      <c r="J16" s="20">
        <f>0.039*POWER(C16,1.784)</f>
        <v>28.128050399345646</v>
      </c>
      <c r="K16" s="20">
        <f>0.02*POWER((C16*C16*D16),0.737)</f>
        <v>25.08802205999875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f>F16+G16+H16+I16+J16+K16+L16</f>
        <v>471.10733843931126</v>
      </c>
      <c r="W16" s="20">
        <f>0.0851*POWER(C16,2.151)</f>
        <v>237.66246728826951</v>
      </c>
      <c r="X16" s="20">
        <f t="shared" ref="X16:Y18" si="0">V16/2</f>
        <v>235.55366921965563</v>
      </c>
      <c r="Y16" s="20">
        <f t="shared" si="0"/>
        <v>118.83123364413476</v>
      </c>
    </row>
    <row r="17" spans="1:25" x14ac:dyDescent="0.2">
      <c r="A17" s="16" t="s">
        <v>19</v>
      </c>
      <c r="B17" s="17" t="s">
        <v>42</v>
      </c>
      <c r="C17" s="18">
        <v>40</v>
      </c>
      <c r="D17" s="18">
        <v>10</v>
      </c>
      <c r="E17" s="19">
        <f>IF(C17&gt;22.5,1,0)</f>
        <v>1</v>
      </c>
      <c r="F17" s="20">
        <f>0.013*POWER(C17,2)*D17</f>
        <v>208</v>
      </c>
      <c r="G17" s="20"/>
      <c r="H17" s="20">
        <f>(0.538*POWER((C17-22.5),2)-0.013*POWER((C17-22.5),2)*D17)*E17</f>
        <v>124.95000000000002</v>
      </c>
      <c r="I17" s="20">
        <f>0.0385*POWER(C17,2)</f>
        <v>61.6</v>
      </c>
      <c r="J17" s="20">
        <f>0.0774*POWER(C17,2)-0.00198*POWER(C17,2)*D17</f>
        <v>92.16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f>F17+G17+H17+I17+J17+K17+L17</f>
        <v>486.71000000000004</v>
      </c>
      <c r="W17" s="20">
        <f>0.122*POWER(C17,2)</f>
        <v>195.2</v>
      </c>
      <c r="X17" s="20">
        <f t="shared" si="0"/>
        <v>243.35500000000002</v>
      </c>
      <c r="Y17" s="20">
        <f t="shared" si="0"/>
        <v>97.6</v>
      </c>
    </row>
    <row r="18" spans="1:25" x14ac:dyDescent="0.2">
      <c r="A18" s="16" t="s">
        <v>20</v>
      </c>
      <c r="B18" s="17" t="s">
        <v>46</v>
      </c>
      <c r="C18" s="18">
        <v>40</v>
      </c>
      <c r="D18" s="18">
        <v>10</v>
      </c>
      <c r="E18" s="19">
        <f>IF(C18&gt;12.5,1,0)</f>
        <v>1</v>
      </c>
      <c r="F18" s="20">
        <f>0.0296*POWER(C18,2)*D18</f>
        <v>473.6</v>
      </c>
      <c r="G18" s="20"/>
      <c r="H18" s="20">
        <f>0.231*POWER((C18-12.5),2)*E18</f>
        <v>174.69374999999999</v>
      </c>
      <c r="I18" s="20">
        <f>0.0925*POWER(C18,2)</f>
        <v>148</v>
      </c>
      <c r="J18" s="20">
        <f>2.005*C18</f>
        <v>80.199999999999989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f>F18+G18+H18+I18+J18+K18+L18</f>
        <v>876.49375000000009</v>
      </c>
      <c r="W18" s="20">
        <f>0.359*POWER(C18,2)</f>
        <v>574.4</v>
      </c>
      <c r="X18" s="20">
        <f t="shared" si="0"/>
        <v>438.24687500000005</v>
      </c>
      <c r="Y18" s="20">
        <f t="shared" si="0"/>
        <v>287.2</v>
      </c>
    </row>
    <row r="19" spans="1:25" x14ac:dyDescent="0.2">
      <c r="A19" s="16" t="s">
        <v>21</v>
      </c>
      <c r="B19" s="17" t="s">
        <v>45</v>
      </c>
      <c r="C19" s="18">
        <v>40</v>
      </c>
      <c r="D19" s="18">
        <v>10</v>
      </c>
      <c r="E19" s="19">
        <f>IF(C19&gt;12.5,1,0)</f>
        <v>1</v>
      </c>
      <c r="F19" s="20">
        <f>0.0296*POWER(C19,2)*D19</f>
        <v>473.6</v>
      </c>
      <c r="G19" s="20"/>
      <c r="H19" s="20">
        <f>0.231*POWER((C19-12.5),2)*E19</f>
        <v>174.69374999999999</v>
      </c>
      <c r="I19" s="20">
        <f>0.0925*POWER(C19,2)</f>
        <v>148</v>
      </c>
      <c r="J19" s="20">
        <f>2.005*C19</f>
        <v>80.199999999999989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>
        <f>F19+G19+H19+I19+J19+K19+L19</f>
        <v>876.49375000000009</v>
      </c>
      <c r="W19" s="20">
        <f>0.359*POWER(C19,2)</f>
        <v>574.4</v>
      </c>
      <c r="X19" s="20">
        <f>+V19/2</f>
        <v>438.24687500000005</v>
      </c>
      <c r="Y19" s="20">
        <f>+W19/2</f>
        <v>287.2</v>
      </c>
    </row>
    <row r="20" spans="1:25" x14ac:dyDescent="0.2">
      <c r="A20" s="16" t="s">
        <v>15</v>
      </c>
      <c r="B20" s="17" t="s">
        <v>25</v>
      </c>
      <c r="C20" s="18">
        <v>40</v>
      </c>
      <c r="D20" s="18">
        <v>10</v>
      </c>
      <c r="E20" s="19">
        <f>IF(C20&gt;22.5,1,0)</f>
        <v>1</v>
      </c>
      <c r="F20" s="20">
        <f>0.013*POWER(C20,2)*D20</f>
        <v>208</v>
      </c>
      <c r="G20" s="20"/>
      <c r="H20" s="20">
        <f>(0.538*POWER((C20-22.5),2)-0.013*POWER((C20-22.5),2)*D20)*E20</f>
        <v>124.95000000000002</v>
      </c>
      <c r="I20" s="20">
        <f>0.0385*POWER(C20,2)</f>
        <v>61.6</v>
      </c>
      <c r="J20" s="20">
        <f>0.0774*POWER(C20,2)-0.00198*POWER(C20,2)*D20</f>
        <v>92.16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>
        <f>F20+G20+H20+I20+J20+K20+L20</f>
        <v>486.71000000000004</v>
      </c>
      <c r="W20" s="20">
        <f>0.122*POWER(C20,2)</f>
        <v>195.2</v>
      </c>
      <c r="X20" s="20">
        <f>+V20/2</f>
        <v>243.35500000000002</v>
      </c>
      <c r="Y20" s="20">
        <f>+W20/2</f>
        <v>97.6</v>
      </c>
    </row>
    <row r="21" spans="1:25" x14ac:dyDescent="0.2">
      <c r="A21" s="16" t="s">
        <v>32</v>
      </c>
      <c r="B21" s="17" t="s">
        <v>36</v>
      </c>
      <c r="C21" s="18">
        <v>40</v>
      </c>
      <c r="D21" s="18">
        <v>10</v>
      </c>
      <c r="E21" s="19"/>
      <c r="F21" s="20">
        <f>0.0221*POWER(C21,2)*D21</f>
        <v>353.6</v>
      </c>
      <c r="G21" s="20"/>
      <c r="H21" s="20"/>
      <c r="I21" s="20">
        <f>0.154*POWER(C21,1.668)</f>
        <v>72.403037497251546</v>
      </c>
      <c r="J21" s="20">
        <f>0.18*POWER((POWER(C21,2)*D21),0.587)</f>
        <v>52.855591207872543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>
        <f>F21+G21+H21+I21+J21+K21+L21</f>
        <v>478.85862870512409</v>
      </c>
      <c r="W21" s="19">
        <f>IF(C21&lt;22.5,170.3,(IF(C21&lt;42.5,199.5,229.4)))</f>
        <v>199.5</v>
      </c>
      <c r="X21" s="20">
        <f>V21/2</f>
        <v>239.42931435256205</v>
      </c>
      <c r="Y21" s="20">
        <f>W21/2</f>
        <v>99.75</v>
      </c>
    </row>
    <row r="22" spans="1:25" x14ac:dyDescent="0.2">
      <c r="A22" s="16" t="s">
        <v>33</v>
      </c>
      <c r="B22" s="17" t="s">
        <v>39</v>
      </c>
      <c r="C22" s="18">
        <v>40</v>
      </c>
      <c r="D22" s="18">
        <v>10</v>
      </c>
      <c r="E22" s="19"/>
      <c r="F22" s="20">
        <f>0.0221*POWER(C22,2)*D22</f>
        <v>353.6</v>
      </c>
      <c r="G22" s="20"/>
      <c r="H22" s="20"/>
      <c r="I22" s="20">
        <f>0.154*POWER(C22,1.668)</f>
        <v>72.403037497251546</v>
      </c>
      <c r="J22" s="20">
        <f>0.18*POWER((POWER(C22,2)*D22),0.587)</f>
        <v>52.855591207872543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>
        <f>F22+G22+H22+I22+J22+K22+L22</f>
        <v>478.85862870512409</v>
      </c>
      <c r="W22" s="19">
        <f>IF(C22&lt;22.5,170.3,(IF(C22&lt;42.5,199.5,229.4)))</f>
        <v>199.5</v>
      </c>
      <c r="X22" s="20">
        <f>V22/2</f>
        <v>239.42931435256205</v>
      </c>
      <c r="Y22" s="20">
        <f>W22/2</f>
        <v>99.75</v>
      </c>
    </row>
    <row r="23" spans="1:25" x14ac:dyDescent="0.2">
      <c r="A23" s="16" t="s">
        <v>75</v>
      </c>
      <c r="B23" s="17" t="s">
        <v>76</v>
      </c>
      <c r="C23" s="18">
        <v>40</v>
      </c>
      <c r="D23" s="18">
        <v>10</v>
      </c>
      <c r="E23" s="19"/>
      <c r="F23" s="20">
        <f>0.0094*POWER(C23,2.033)*POWER(D23,1.056)</f>
        <v>193.24835955440861</v>
      </c>
      <c r="G23" s="20">
        <f>0.01342*POWER(C23,2.361)</f>
        <v>81.323517569768967</v>
      </c>
      <c r="H23" s="20"/>
      <c r="I23" s="20">
        <f>0.000059*POWER(C23,3.76)</f>
        <v>62.315714516081009</v>
      </c>
      <c r="J23" s="20">
        <f>0.0128*POWER(C23,1.858)</f>
        <v>12.129347359646987</v>
      </c>
      <c r="K23" s="20">
        <f>0.000922*POWER(C23,2.632)</f>
        <v>15.182833108168888</v>
      </c>
      <c r="L23" s="20">
        <f>0.0053*POWER(C23,2.393)</f>
        <v>36.141438043058841</v>
      </c>
      <c r="M23" s="20">
        <f>0.1451*POWER(C23,1.403)</f>
        <v>25.665963970289244</v>
      </c>
      <c r="N23" s="20"/>
      <c r="O23" s="20"/>
      <c r="P23" s="20"/>
      <c r="Q23" s="20"/>
      <c r="R23" s="20"/>
      <c r="S23" s="20"/>
      <c r="T23" s="20"/>
      <c r="U23" s="20"/>
      <c r="V23" s="20">
        <f>F23+G23+H23+I23+J23+K23+L23</f>
        <v>400.34121015113334</v>
      </c>
      <c r="W23" s="19">
        <f>IF(C23&lt;22.5,170.3,(IF(C23&lt;42.5,199.5,229.4)))</f>
        <v>199.5</v>
      </c>
      <c r="X23" s="20">
        <f>+V23/2</f>
        <v>200.17060507556667</v>
      </c>
      <c r="Y23" s="20">
        <f>+W23/2</f>
        <v>99.75</v>
      </c>
    </row>
    <row r="24" spans="1:25" x14ac:dyDescent="0.2">
      <c r="A24" s="16" t="s">
        <v>16</v>
      </c>
      <c r="B24" s="17" t="s">
        <v>26</v>
      </c>
      <c r="C24" s="18">
        <v>40</v>
      </c>
      <c r="D24" s="18">
        <v>10</v>
      </c>
      <c r="E24" s="19"/>
      <c r="F24" s="20">
        <f>0.0114*POWER(C24,2)*D24</f>
        <v>182.40000000000003</v>
      </c>
      <c r="G24" s="20"/>
      <c r="H24" s="20">
        <f>0.0108*POWER(C24,2)*D24</f>
        <v>172.8</v>
      </c>
      <c r="I24" s="20">
        <f>1.672*C24</f>
        <v>66.88</v>
      </c>
      <c r="J24" s="20">
        <f>0.0354*POWER(C24,2)+1.187*D24</f>
        <v>68.510000000000005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>
        <f>F24+G24+H24+I24+J24+K24+L24</f>
        <v>490.59000000000003</v>
      </c>
      <c r="W24" s="20">
        <f>0.147*POWER(C24,2)</f>
        <v>235.2</v>
      </c>
      <c r="X24" s="20">
        <f>V24/2</f>
        <v>245.29500000000002</v>
      </c>
      <c r="Y24" s="20">
        <f>W24/2</f>
        <v>117.6</v>
      </c>
    </row>
    <row r="25" spans="1:25" x14ac:dyDescent="0.2">
      <c r="A25" s="16" t="s">
        <v>77</v>
      </c>
      <c r="B25" s="17" t="s">
        <v>78</v>
      </c>
      <c r="C25" s="18">
        <v>40</v>
      </c>
      <c r="D25" s="18">
        <v>10</v>
      </c>
      <c r="E25" s="19"/>
      <c r="F25" s="20">
        <f>0.142*POWER(C25,1.974)</f>
        <v>206.42142283778551</v>
      </c>
      <c r="G25" s="20"/>
      <c r="H25" s="20">
        <f>0.104*POWER(C25,2)</f>
        <v>166.4</v>
      </c>
      <c r="I25" s="20">
        <f>0.0538*POWER(D25,2)</f>
        <v>5.38</v>
      </c>
      <c r="J25" s="20">
        <f>0.151*POWER(C25,2)-0.0074*POWER(C25,2)*D25</f>
        <v>123.19999999999999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>
        <f>F25+G25+H25+I25+J25+K25+L25</f>
        <v>501.4014228377855</v>
      </c>
      <c r="W25" s="20">
        <f>0.335*POWER(C25,2)</f>
        <v>536</v>
      </c>
      <c r="X25" s="20">
        <f>+V25/2</f>
        <v>250.70071141889275</v>
      </c>
      <c r="Y25" s="20">
        <f>+W25/2</f>
        <v>268</v>
      </c>
    </row>
    <row r="26" spans="1:25" x14ac:dyDescent="0.2">
      <c r="A26" s="16" t="s">
        <v>79</v>
      </c>
      <c r="B26" s="17" t="s">
        <v>80</v>
      </c>
      <c r="C26" s="18">
        <v>40</v>
      </c>
      <c r="D26" s="18">
        <v>10</v>
      </c>
      <c r="E26" s="19"/>
      <c r="F26" s="20">
        <f>0.0114*POWER(C26,2)*D26</f>
        <v>182.40000000000003</v>
      </c>
      <c r="G26" s="20"/>
      <c r="H26" s="20">
        <f>0.0108*POWER(C26,2)*D26</f>
        <v>172.8</v>
      </c>
      <c r="I26" s="20">
        <f>1.672*C26</f>
        <v>66.88</v>
      </c>
      <c r="J26" s="20">
        <f>0.0354*POWER(C26,2)+1.187*D26</f>
        <v>68.510000000000005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>
        <f>F26+G26+H26+I26+J26+K26+L26</f>
        <v>490.59000000000003</v>
      </c>
      <c r="W26" s="20">
        <f>0.147*POWER(C26,2)</f>
        <v>235.2</v>
      </c>
      <c r="X26" s="20">
        <f>+V26/2</f>
        <v>245.29500000000002</v>
      </c>
      <c r="Y26" s="20">
        <f>+W26/2</f>
        <v>117.6</v>
      </c>
    </row>
    <row r="27" spans="1:25" x14ac:dyDescent="0.2">
      <c r="A27" s="16" t="s">
        <v>31</v>
      </c>
      <c r="B27" s="17" t="s">
        <v>37</v>
      </c>
      <c r="C27" s="18">
        <v>40</v>
      </c>
      <c r="D27" s="18">
        <v>10</v>
      </c>
      <c r="E27" s="19">
        <f>IF(C27&gt;12.5,1,0)</f>
        <v>1</v>
      </c>
      <c r="F27" s="20">
        <f>0.0142*POWER(C27,2)*D27</f>
        <v>227.20000000000002</v>
      </c>
      <c r="G27" s="20"/>
      <c r="H27" s="20">
        <f>0.223*POWER((C27-12.5),2)*E27</f>
        <v>168.64375000000001</v>
      </c>
      <c r="I27" s="20">
        <f>0.23*C27*D27</f>
        <v>92.000000000000014</v>
      </c>
      <c r="J27" s="20">
        <f>0.221*C27*D27</f>
        <v>88.4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>
        <f>F27+G27+H27+I27+J27+K27+L27</f>
        <v>576.24374999999998</v>
      </c>
      <c r="W27" s="20">
        <f>0.0211*POWER(C27,2.804)</f>
        <v>655.32791951357524</v>
      </c>
      <c r="X27" s="20">
        <f t="shared" ref="X27:Y29" si="1">V27/2</f>
        <v>288.12187499999999</v>
      </c>
      <c r="Y27" s="20">
        <f t="shared" si="1"/>
        <v>327.66395975678762</v>
      </c>
    </row>
    <row r="28" spans="1:25" x14ac:dyDescent="0.2">
      <c r="A28" s="16" t="s">
        <v>22</v>
      </c>
      <c r="B28" s="17" t="s">
        <v>41</v>
      </c>
      <c r="C28" s="18">
        <v>40</v>
      </c>
      <c r="D28" s="18">
        <v>10</v>
      </c>
      <c r="E28" s="19">
        <f>IF(C28&gt;22.5,1,0)</f>
        <v>1</v>
      </c>
      <c r="F28" s="20">
        <f>0.0676*POWER(C28,2)+0.0182*POWER(C28,2)*D28</f>
        <v>399.36</v>
      </c>
      <c r="G28" s="20"/>
      <c r="H28" s="20">
        <f>(0.83*POWER((C28-22.5),2)-0.0248*POWER((C28-22.5),2)*D28)*E28</f>
        <v>178.23750000000001</v>
      </c>
      <c r="I28" s="20">
        <f>0.0792*POWER(C28,2)</f>
        <v>126.72000000000001</v>
      </c>
      <c r="J28" s="20">
        <f>0.093*POWER(C28,2)-0.00226*POWER(C28,2)*D28</f>
        <v>112.64000000000001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>
        <f>F28+G28+H28+I28+J28+K28+L28</f>
        <v>816.9575000000001</v>
      </c>
      <c r="W28" s="20">
        <f>0.106*POWER(C28,2)</f>
        <v>169.6</v>
      </c>
      <c r="X28" s="20">
        <f t="shared" si="1"/>
        <v>408.47875000000005</v>
      </c>
      <c r="Y28" s="20">
        <f t="shared" si="1"/>
        <v>84.8</v>
      </c>
    </row>
    <row r="29" spans="1:25" x14ac:dyDescent="0.2">
      <c r="A29" s="16" t="s">
        <v>81</v>
      </c>
      <c r="B29" s="17" t="s">
        <v>82</v>
      </c>
      <c r="C29" s="18">
        <v>40</v>
      </c>
      <c r="D29" s="18">
        <v>10</v>
      </c>
      <c r="E29" s="19"/>
      <c r="F29" s="20"/>
      <c r="G29" s="20"/>
      <c r="H29" s="20"/>
      <c r="I29" s="20"/>
      <c r="J29" s="20"/>
      <c r="K29" s="20"/>
      <c r="L29" s="20"/>
      <c r="M29" s="20"/>
      <c r="N29" s="20">
        <v>0</v>
      </c>
      <c r="O29" s="20">
        <v>0.31439944973417</v>
      </c>
      <c r="P29" s="20">
        <v>2.18018</v>
      </c>
      <c r="Q29" s="20">
        <v>0</v>
      </c>
      <c r="R29" s="20"/>
      <c r="S29" s="20"/>
      <c r="T29" s="20"/>
      <c r="U29" s="20"/>
      <c r="V29" s="20">
        <f>(N29+(O29*(POWER(C29,P29)*(POWER(D29,Q29)))))*0.61</f>
        <v>596.47296501331255</v>
      </c>
      <c r="W29" s="20">
        <f>(N29+(O29*(POWER(C29,P29)*(POWER(D29,Q29)))))-V29</f>
        <v>381.35156779539659</v>
      </c>
      <c r="X29" s="20">
        <f t="shared" si="1"/>
        <v>298.23648250665627</v>
      </c>
      <c r="Y29" s="20">
        <f t="shared" si="1"/>
        <v>190.6757838976983</v>
      </c>
    </row>
    <row r="30" spans="1:25" x14ac:dyDescent="0.2">
      <c r="A30" s="16" t="s">
        <v>83</v>
      </c>
      <c r="B30" s="17" t="s">
        <v>84</v>
      </c>
      <c r="C30" s="18">
        <v>40</v>
      </c>
      <c r="D30" s="18">
        <v>10</v>
      </c>
      <c r="E30" s="19"/>
      <c r="F30" s="20"/>
      <c r="G30" s="20"/>
      <c r="H30" s="20"/>
      <c r="I30" s="20"/>
      <c r="J30" s="20"/>
      <c r="K30" s="20"/>
      <c r="L30" s="20"/>
      <c r="M30" s="20"/>
      <c r="N30" s="20">
        <v>0</v>
      </c>
      <c r="O30" s="20">
        <v>0.54253169744844665</v>
      </c>
      <c r="P30" s="20">
        <v>1.9645600000000001</v>
      </c>
      <c r="Q30" s="20">
        <v>0</v>
      </c>
      <c r="R30" s="20"/>
      <c r="S30" s="20"/>
      <c r="T30" s="20"/>
      <c r="U30" s="20"/>
      <c r="V30" s="20">
        <f>(N30+(O30*(POWER(C30,P30)*(POWER(D30,Q30)))))*0.605</f>
        <v>460.81166909816841</v>
      </c>
      <c r="W30" s="20">
        <f>(N30+(O30*(POWER(C30,P30)*(POWER(D30,Q30)))))-V30</f>
        <v>300.86051122938272</v>
      </c>
      <c r="X30" s="20">
        <f t="shared" ref="X30:Y37" si="2">+V30/2</f>
        <v>230.4058345490842</v>
      </c>
      <c r="Y30" s="20">
        <f t="shared" si="2"/>
        <v>150.43025561469136</v>
      </c>
    </row>
    <row r="31" spans="1:25" x14ac:dyDescent="0.2">
      <c r="A31" s="16" t="s">
        <v>85</v>
      </c>
      <c r="B31" s="17" t="s">
        <v>86</v>
      </c>
      <c r="C31" s="18">
        <v>40</v>
      </c>
      <c r="D31" s="18">
        <v>10</v>
      </c>
      <c r="E31" s="19"/>
      <c r="F31" s="20"/>
      <c r="G31" s="20"/>
      <c r="H31" s="20"/>
      <c r="I31" s="20"/>
      <c r="J31" s="20"/>
      <c r="K31" s="20"/>
      <c r="L31" s="20"/>
      <c r="M31" s="20"/>
      <c r="N31" s="20">
        <v>0</v>
      </c>
      <c r="O31" s="20">
        <v>0.31167791725287963</v>
      </c>
      <c r="P31" s="20">
        <v>2.00644</v>
      </c>
      <c r="Q31" s="20">
        <v>0</v>
      </c>
      <c r="R31" s="20"/>
      <c r="S31" s="20"/>
      <c r="T31" s="20"/>
      <c r="U31" s="20"/>
      <c r="V31" s="20">
        <f>(N31+(O31*(POWER(C31,P31)*(POWER(D31,Q31)))))*0.693</f>
        <v>353.89670304516602</v>
      </c>
      <c r="W31" s="20">
        <f>(N31+(O31*(POWER(C31,P31)*(POWER(D31,Q31)))))-V31</f>
        <v>156.77675012246175</v>
      </c>
      <c r="X31" s="20">
        <f t="shared" si="2"/>
        <v>176.94835152258301</v>
      </c>
      <c r="Y31" s="20">
        <f t="shared" si="2"/>
        <v>78.388375061230875</v>
      </c>
    </row>
    <row r="32" spans="1:25" x14ac:dyDescent="0.2">
      <c r="A32" s="16" t="s">
        <v>87</v>
      </c>
      <c r="B32" s="17" t="s">
        <v>88</v>
      </c>
      <c r="C32" s="18">
        <v>40</v>
      </c>
      <c r="D32" s="18">
        <v>10</v>
      </c>
      <c r="E32" s="19"/>
      <c r="F32" s="20"/>
      <c r="G32" s="20"/>
      <c r="H32" s="20"/>
      <c r="I32" s="20"/>
      <c r="J32" s="20"/>
      <c r="K32" s="20"/>
      <c r="L32" s="20"/>
      <c r="M32" s="20"/>
      <c r="N32" s="20">
        <v>0</v>
      </c>
      <c r="O32" s="20">
        <v>0.25616842230416897</v>
      </c>
      <c r="P32" s="20">
        <v>2.2664</v>
      </c>
      <c r="Q32" s="20">
        <v>0</v>
      </c>
      <c r="R32" s="20">
        <v>0</v>
      </c>
      <c r="S32" s="20">
        <v>0.25085832879283076</v>
      </c>
      <c r="T32" s="20">
        <v>2.0561400000000001</v>
      </c>
      <c r="U32" s="20">
        <v>0</v>
      </c>
      <c r="V32" s="20">
        <f>(N32+(O32*(POWER(C32,P32)*(POWER(D32,Q32)))))-W32</f>
        <v>601.32257731834</v>
      </c>
      <c r="W32" s="20">
        <f>R32+(S32*(POWER(C32,T32)*(POWER(D32,U32))))</f>
        <v>493.72845235464717</v>
      </c>
      <c r="X32" s="20">
        <f t="shared" si="2"/>
        <v>300.66128865917</v>
      </c>
      <c r="Y32" s="20">
        <f t="shared" si="2"/>
        <v>246.86422617732359</v>
      </c>
    </row>
    <row r="33" spans="1:26" x14ac:dyDescent="0.2">
      <c r="A33" s="16" t="s">
        <v>89</v>
      </c>
      <c r="B33" s="17" t="s">
        <v>90</v>
      </c>
      <c r="C33" s="18">
        <v>40</v>
      </c>
      <c r="D33" s="18">
        <v>10</v>
      </c>
      <c r="E33" s="19"/>
      <c r="F33" s="20"/>
      <c r="G33" s="20"/>
      <c r="H33" s="20"/>
      <c r="I33" s="20"/>
      <c r="J33" s="20"/>
      <c r="K33" s="20"/>
      <c r="L33" s="20"/>
      <c r="M33" s="20"/>
      <c r="N33" s="20">
        <v>0</v>
      </c>
      <c r="O33" s="20">
        <v>0.25616842230416897</v>
      </c>
      <c r="P33" s="20">
        <v>2.2664</v>
      </c>
      <c r="Q33" s="20">
        <v>0</v>
      </c>
      <c r="R33" s="20">
        <v>0</v>
      </c>
      <c r="S33" s="20">
        <v>0.25085832879283076</v>
      </c>
      <c r="T33" s="20">
        <v>2.0561400000000001</v>
      </c>
      <c r="U33" s="20">
        <v>0</v>
      </c>
      <c r="V33" s="20">
        <f>(N33+(O33*(POWER(C33,P33)*(POWER(D33,Q33)))))-W33</f>
        <v>601.32257731834</v>
      </c>
      <c r="W33" s="20">
        <f>R33+(S33*(POWER(C33,T33)*(POWER(D33,U33))))</f>
        <v>493.72845235464717</v>
      </c>
      <c r="X33" s="20">
        <f t="shared" si="2"/>
        <v>300.66128865917</v>
      </c>
      <c r="Y33" s="20">
        <f t="shared" si="2"/>
        <v>246.86422617732359</v>
      </c>
    </row>
    <row r="34" spans="1:26" x14ac:dyDescent="0.2">
      <c r="A34" s="16" t="s">
        <v>91</v>
      </c>
      <c r="B34" s="17" t="s">
        <v>92</v>
      </c>
      <c r="C34" s="18">
        <v>40</v>
      </c>
      <c r="D34" s="18">
        <v>10</v>
      </c>
      <c r="E34" s="19"/>
      <c r="F34" s="20"/>
      <c r="G34" s="20"/>
      <c r="H34" s="20"/>
      <c r="I34" s="20"/>
      <c r="J34" s="20"/>
      <c r="K34" s="20"/>
      <c r="L34" s="20"/>
      <c r="M34" s="20"/>
      <c r="N34" s="20">
        <v>0</v>
      </c>
      <c r="O34" s="20">
        <v>0.25616842230416897</v>
      </c>
      <c r="P34" s="20">
        <v>2.2664</v>
      </c>
      <c r="Q34" s="20">
        <v>0</v>
      </c>
      <c r="R34" s="20">
        <v>0</v>
      </c>
      <c r="S34" s="20">
        <v>0.25085832879283076</v>
      </c>
      <c r="T34" s="20">
        <v>2.0561400000000001</v>
      </c>
      <c r="U34" s="20">
        <v>0</v>
      </c>
      <c r="V34" s="20">
        <f>(N34+(O34*(POWER(C34,P34)*(POWER(D34,Q34)))))-W34</f>
        <v>601.32257731834</v>
      </c>
      <c r="W34" s="20">
        <f>R34+(S34*(POWER(C34,T34)*(POWER(D34,U34))))</f>
        <v>493.72845235464717</v>
      </c>
      <c r="X34" s="20">
        <f t="shared" si="2"/>
        <v>300.66128865917</v>
      </c>
      <c r="Y34" s="20">
        <f t="shared" si="2"/>
        <v>246.86422617732359</v>
      </c>
    </row>
    <row r="35" spans="1:26" x14ac:dyDescent="0.2">
      <c r="A35" s="16" t="s">
        <v>93</v>
      </c>
      <c r="B35" s="17" t="s">
        <v>94</v>
      </c>
      <c r="C35" s="18">
        <v>40</v>
      </c>
      <c r="D35" s="18">
        <v>10</v>
      </c>
      <c r="E35" s="19"/>
      <c r="F35" s="20"/>
      <c r="G35" s="20"/>
      <c r="H35" s="20"/>
      <c r="I35" s="20"/>
      <c r="J35" s="20"/>
      <c r="K35" s="20"/>
      <c r="L35" s="20"/>
      <c r="M35" s="20"/>
      <c r="N35" s="20">
        <v>0</v>
      </c>
      <c r="O35" s="20">
        <v>0.25616842230416897</v>
      </c>
      <c r="P35" s="20">
        <v>2.2664</v>
      </c>
      <c r="Q35" s="20">
        <v>0</v>
      </c>
      <c r="R35" s="20">
        <v>0</v>
      </c>
      <c r="S35" s="20">
        <v>0.25085832879283076</v>
      </c>
      <c r="T35" s="20">
        <v>2.0561400000000001</v>
      </c>
      <c r="U35" s="20">
        <v>0</v>
      </c>
      <c r="V35" s="20">
        <f>(N35+(O35*(POWER(C35,P35)*(POWER(D35,Q35)))))-W35</f>
        <v>601.32257731834</v>
      </c>
      <c r="W35" s="20">
        <f>R35+(S35*(POWER(C35,T35)*(POWER(D35,U35))))</f>
        <v>493.72845235464717</v>
      </c>
      <c r="X35" s="20">
        <f t="shared" si="2"/>
        <v>300.66128865917</v>
      </c>
      <c r="Y35" s="20">
        <f t="shared" si="2"/>
        <v>246.86422617732359</v>
      </c>
    </row>
    <row r="36" spans="1:26" x14ac:dyDescent="0.2">
      <c r="A36" s="16" t="s">
        <v>95</v>
      </c>
      <c r="B36" s="17" t="s">
        <v>96</v>
      </c>
      <c r="C36" s="18">
        <v>40</v>
      </c>
      <c r="D36" s="18">
        <v>10</v>
      </c>
      <c r="E36" s="19"/>
      <c r="F36" s="20"/>
      <c r="G36" s="20"/>
      <c r="H36" s="20"/>
      <c r="I36" s="20"/>
      <c r="J36" s="20"/>
      <c r="K36" s="20"/>
      <c r="L36" s="20"/>
      <c r="M36" s="20"/>
      <c r="N36" s="20">
        <v>0</v>
      </c>
      <c r="O36" s="20">
        <v>0.25616842230416897</v>
      </c>
      <c r="P36" s="20">
        <v>2.2664</v>
      </c>
      <c r="Q36" s="20">
        <v>0</v>
      </c>
      <c r="R36" s="20">
        <v>0</v>
      </c>
      <c r="S36" s="20">
        <v>0.25085832879283076</v>
      </c>
      <c r="T36" s="20">
        <v>2.0561400000000001</v>
      </c>
      <c r="U36" s="20">
        <v>0</v>
      </c>
      <c r="V36" s="20">
        <f>(N36+(O36*(POWER(C36,P36)*(POWER(D36,Q36)))))-W36</f>
        <v>601.32257731834</v>
      </c>
      <c r="W36" s="20">
        <f>R36+(S36*(POWER(C36,T36)*(POWER(D36,U36))))</f>
        <v>493.72845235464717</v>
      </c>
      <c r="X36" s="20">
        <f t="shared" si="2"/>
        <v>300.66128865917</v>
      </c>
      <c r="Y36" s="20">
        <f t="shared" si="2"/>
        <v>246.86422617732359</v>
      </c>
    </row>
    <row r="37" spans="1:26" x14ac:dyDescent="0.2">
      <c r="A37" s="16" t="s">
        <v>97</v>
      </c>
      <c r="B37" s="17" t="s">
        <v>98</v>
      </c>
      <c r="C37" s="18">
        <v>40</v>
      </c>
      <c r="D37" s="18">
        <v>10</v>
      </c>
      <c r="E37" s="19">
        <f>IF(C37&gt;12.5,1,0)</f>
        <v>1</v>
      </c>
      <c r="F37" s="20">
        <f>0.0296*POWER(C37,2)*D37</f>
        <v>473.6</v>
      </c>
      <c r="G37" s="20"/>
      <c r="H37" s="20">
        <f>0.231*POWER((C37-12.5),2)*E37</f>
        <v>174.69374999999999</v>
      </c>
      <c r="I37" s="20">
        <f>0.0925*POWER(C37,2)</f>
        <v>148</v>
      </c>
      <c r="J37" s="20">
        <f>2.005*C37</f>
        <v>80.199999999999989</v>
      </c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>
        <f>F37+G37+H37+I37+J37+K37+L37</f>
        <v>876.49375000000009</v>
      </c>
      <c r="W37" s="20">
        <f>0.359*POWER(C37,2)</f>
        <v>574.4</v>
      </c>
      <c r="X37" s="20">
        <f t="shared" si="2"/>
        <v>438.24687500000005</v>
      </c>
      <c r="Y37" s="20">
        <f t="shared" si="2"/>
        <v>287.2</v>
      </c>
      <c r="Z37" s="18"/>
    </row>
    <row r="38" spans="1:26" x14ac:dyDescent="0.2">
      <c r="A38" s="16" t="s">
        <v>99</v>
      </c>
      <c r="B38" s="17" t="s">
        <v>100</v>
      </c>
      <c r="C38" s="18">
        <v>40</v>
      </c>
      <c r="D38" s="18">
        <v>10</v>
      </c>
      <c r="E38" s="19"/>
      <c r="F38" s="20">
        <f>0.0191*POWER(C38,2)*D38</f>
        <v>305.59999999999997</v>
      </c>
      <c r="G38" s="20"/>
      <c r="H38" s="20">
        <f>0.0512*POWER(C38,2)</f>
        <v>81.92</v>
      </c>
      <c r="I38" s="20"/>
      <c r="J38" s="20">
        <f>0.0567*C38*D38</f>
        <v>22.68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>
        <f>F38+G38+H38+I38+J38+K38+L38</f>
        <v>410.2</v>
      </c>
      <c r="W38" s="20">
        <f>0.214*POWER(C38,2)</f>
        <v>342.4</v>
      </c>
      <c r="X38" s="20">
        <f t="shared" ref="X38:Y41" si="3">V38/2</f>
        <v>205.1</v>
      </c>
      <c r="Y38" s="20">
        <f t="shared" si="3"/>
        <v>171.2</v>
      </c>
      <c r="Z38" s="18"/>
    </row>
    <row r="39" spans="1:26" x14ac:dyDescent="0.2">
      <c r="A39" s="16" t="s">
        <v>23</v>
      </c>
      <c r="B39" s="17" t="s">
        <v>44</v>
      </c>
      <c r="C39" s="18">
        <v>40</v>
      </c>
      <c r="D39" s="18">
        <v>10</v>
      </c>
      <c r="E39" s="19">
        <f>IF(C39&gt;12.5,1,0)</f>
        <v>1</v>
      </c>
      <c r="F39" s="20">
        <f>0.0296*POWER(C39,2)*D39</f>
        <v>473.6</v>
      </c>
      <c r="G39" s="20"/>
      <c r="H39" s="20">
        <f>0.231*POWER((C39-12.5),2)*E39</f>
        <v>174.69374999999999</v>
      </c>
      <c r="I39" s="20">
        <f>0.0925*POWER(C39,2)</f>
        <v>148</v>
      </c>
      <c r="J39" s="20">
        <f>2.005*C39</f>
        <v>80.199999999999989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>
        <f>F39+G39+H39+I39+J39+K39+L39</f>
        <v>876.49375000000009</v>
      </c>
      <c r="W39" s="20">
        <f>0.359*POWER(C39,2)</f>
        <v>574.4</v>
      </c>
      <c r="X39" s="20">
        <f t="shared" si="3"/>
        <v>438.24687500000005</v>
      </c>
      <c r="Y39" s="20">
        <f t="shared" si="3"/>
        <v>287.2</v>
      </c>
      <c r="Z39" s="18"/>
    </row>
    <row r="40" spans="1:26" x14ac:dyDescent="0.2">
      <c r="A40" s="16" t="s">
        <v>101</v>
      </c>
      <c r="B40" s="17" t="s">
        <v>102</v>
      </c>
      <c r="C40" s="18">
        <v>40</v>
      </c>
      <c r="D40" s="18">
        <v>10</v>
      </c>
      <c r="E40" s="19">
        <f>IF(C40&gt;12.5,1,0)</f>
        <v>1</v>
      </c>
      <c r="F40" s="20">
        <f>0.0296*POWER(C40,2)*D40</f>
        <v>473.6</v>
      </c>
      <c r="G40" s="20"/>
      <c r="H40" s="20">
        <f>0.231*POWER((C40-12.5),2)*E40</f>
        <v>174.69374999999999</v>
      </c>
      <c r="I40" s="20">
        <f>0.0925*POWER(C40,2)</f>
        <v>148</v>
      </c>
      <c r="J40" s="20">
        <f>2.005*C40</f>
        <v>80.199999999999989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>
        <f>F40+G40+H40+I40+J40+K40+L40</f>
        <v>876.49375000000009</v>
      </c>
      <c r="W40" s="20">
        <f>0.359*POWER(C40,2)</f>
        <v>574.4</v>
      </c>
      <c r="X40" s="20">
        <f t="shared" si="3"/>
        <v>438.24687500000005</v>
      </c>
      <c r="Y40" s="20">
        <f t="shared" si="3"/>
        <v>287.2</v>
      </c>
      <c r="Z40" s="18"/>
    </row>
    <row r="41" spans="1:26" x14ac:dyDescent="0.2">
      <c r="A41" s="16" t="s">
        <v>103</v>
      </c>
      <c r="B41" s="17" t="s">
        <v>104</v>
      </c>
      <c r="C41" s="18">
        <v>40</v>
      </c>
      <c r="D41" s="18">
        <v>10</v>
      </c>
      <c r="E41" s="19">
        <f>IF(C41&gt;22.5,1,0)</f>
        <v>1</v>
      </c>
      <c r="F41" s="20">
        <f>0.0132*POWER(C41,2)*D41+0.217*C41*D41</f>
        <v>298</v>
      </c>
      <c r="G41" s="20"/>
      <c r="H41" s="20">
        <f>0.107*POWER((C41-22.5),2)*E41</f>
        <v>32.768749999999997</v>
      </c>
      <c r="I41" s="20">
        <f>0.00792*POWER(C41,2)*D41</f>
        <v>126.72</v>
      </c>
      <c r="J41" s="20">
        <f>0.273*C41*D41</f>
        <v>109.20000000000002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>
        <f>F41+G41+H41+I41+J41+K41+L41</f>
        <v>566.68875000000003</v>
      </c>
      <c r="W41" s="20">
        <f>0.0767*POWER(C41,2)</f>
        <v>122.72000000000001</v>
      </c>
      <c r="X41" s="20">
        <f t="shared" si="3"/>
        <v>283.34437500000001</v>
      </c>
      <c r="Y41" s="20">
        <f t="shared" si="3"/>
        <v>61.360000000000007</v>
      </c>
      <c r="Z41" s="18"/>
    </row>
    <row r="42" spans="1:26" x14ac:dyDescent="0.2">
      <c r="A42" s="16" t="s">
        <v>105</v>
      </c>
      <c r="B42" s="17" t="s">
        <v>106</v>
      </c>
      <c r="C42" s="18">
        <v>40</v>
      </c>
      <c r="D42" s="18">
        <v>10</v>
      </c>
      <c r="E42" s="19"/>
      <c r="F42" s="20"/>
      <c r="G42" s="20"/>
      <c r="H42" s="20"/>
      <c r="I42" s="20"/>
      <c r="J42" s="20"/>
      <c r="K42" s="20"/>
      <c r="L42" s="20"/>
      <c r="M42" s="20"/>
      <c r="N42" s="20">
        <v>0</v>
      </c>
      <c r="O42" s="20">
        <v>0.31167791725287963</v>
      </c>
      <c r="P42" s="20">
        <v>2.00644</v>
      </c>
      <c r="Q42" s="20">
        <v>0</v>
      </c>
      <c r="R42" s="20"/>
      <c r="S42" s="20"/>
      <c r="T42" s="20"/>
      <c r="U42" s="20"/>
      <c r="V42" s="20">
        <f>(N42+(O42*(POWER(C42,P42)*(POWER(D42,Q42)))))*0.693</f>
        <v>353.89670304516602</v>
      </c>
      <c r="W42" s="20">
        <f>(N42+(O42*(POWER(C42,P42)*(POWER(D42,Q42)))))-V42</f>
        <v>156.77675012246175</v>
      </c>
      <c r="X42" s="20">
        <f>+V42/2</f>
        <v>176.94835152258301</v>
      </c>
      <c r="Y42" s="20">
        <f>+W42/2</f>
        <v>78.388375061230875</v>
      </c>
      <c r="Z42" s="18"/>
    </row>
    <row r="43" spans="1:26" x14ac:dyDescent="0.2">
      <c r="A43" s="16" t="s">
        <v>107</v>
      </c>
      <c r="B43" s="17" t="s">
        <v>108</v>
      </c>
      <c r="C43" s="18">
        <v>40</v>
      </c>
      <c r="D43" s="18">
        <v>10</v>
      </c>
      <c r="E43" s="19"/>
      <c r="F43" s="20"/>
      <c r="G43" s="20"/>
      <c r="H43" s="20"/>
      <c r="I43" s="20"/>
      <c r="J43" s="20"/>
      <c r="K43" s="20"/>
      <c r="L43" s="20"/>
      <c r="M43" s="20"/>
      <c r="N43" s="20">
        <v>0</v>
      </c>
      <c r="O43" s="20">
        <v>0.25616842230416897</v>
      </c>
      <c r="P43" s="20">
        <v>2.2664</v>
      </c>
      <c r="Q43" s="20">
        <v>0</v>
      </c>
      <c r="R43" s="20">
        <v>0</v>
      </c>
      <c r="S43" s="20">
        <v>0.25085832879283076</v>
      </c>
      <c r="T43" s="20">
        <v>2.0561400000000001</v>
      </c>
      <c r="U43" s="20">
        <v>0</v>
      </c>
      <c r="V43" s="20">
        <f>(N43+(O43*(POWER(C43,P43)*(POWER(D43,Q43)))))-W43</f>
        <v>601.32257731834</v>
      </c>
      <c r="W43" s="20">
        <f>R43+(S43*(POWER(C43,T43)*(POWER(D43,U43))))</f>
        <v>493.72845235464717</v>
      </c>
      <c r="X43" s="20">
        <f>+V43/2</f>
        <v>300.66128865917</v>
      </c>
      <c r="Y43" s="20">
        <f>+W43/2</f>
        <v>246.86422617732359</v>
      </c>
      <c r="Z43" s="18"/>
    </row>
    <row r="44" spans="1:26" x14ac:dyDescent="0.2">
      <c r="A44" s="16" t="s">
        <v>109</v>
      </c>
      <c r="B44" s="17" t="s">
        <v>110</v>
      </c>
      <c r="C44" s="18">
        <v>40</v>
      </c>
      <c r="D44" s="18">
        <v>10</v>
      </c>
      <c r="E44" s="19"/>
      <c r="F44" s="20"/>
      <c r="G44" s="20"/>
      <c r="H44" s="20"/>
      <c r="I44" s="20"/>
      <c r="J44" s="20"/>
      <c r="K44" s="20"/>
      <c r="L44" s="20"/>
      <c r="M44" s="20"/>
      <c r="N44" s="20">
        <v>0</v>
      </c>
      <c r="O44" s="20">
        <v>0.54253169744844665</v>
      </c>
      <c r="P44" s="20">
        <v>1.9645600000000001</v>
      </c>
      <c r="Q44" s="20">
        <v>0</v>
      </c>
      <c r="R44" s="20"/>
      <c r="S44" s="20"/>
      <c r="T44" s="20"/>
      <c r="U44" s="20"/>
      <c r="V44" s="20">
        <f>(N44+(O44*(POWER(C44,P44)*(POWER(D44,Q44)))))*0.605</f>
        <v>460.81166909816841</v>
      </c>
      <c r="W44" s="20">
        <f>(N44+(O44*(POWER(C44,P44)*(POWER(D44,Q44)))))-V44</f>
        <v>300.86051122938272</v>
      </c>
      <c r="X44" s="20">
        <f>V44/2</f>
        <v>230.4058345490842</v>
      </c>
      <c r="Y44" s="20">
        <f>W44/2</f>
        <v>150.43025561469136</v>
      </c>
      <c r="Z44" s="18"/>
    </row>
    <row r="45" spans="1:26" x14ac:dyDescent="0.2">
      <c r="A45" s="16" t="s">
        <v>111</v>
      </c>
      <c r="B45" s="17" t="s">
        <v>112</v>
      </c>
      <c r="C45" s="18">
        <v>40</v>
      </c>
      <c r="D45" s="18">
        <v>10</v>
      </c>
      <c r="E45" s="19"/>
      <c r="F45" s="20"/>
      <c r="G45" s="20"/>
      <c r="H45" s="20"/>
      <c r="I45" s="20"/>
      <c r="J45" s="20"/>
      <c r="K45" s="20"/>
      <c r="L45" s="20"/>
      <c r="M45" s="20"/>
      <c r="N45" s="20">
        <v>0</v>
      </c>
      <c r="O45" s="20">
        <v>0.31167791725287963</v>
      </c>
      <c r="P45" s="20">
        <v>2.00644</v>
      </c>
      <c r="Q45" s="20">
        <v>0</v>
      </c>
      <c r="R45" s="20"/>
      <c r="S45" s="20"/>
      <c r="T45" s="20"/>
      <c r="U45" s="20"/>
      <c r="V45" s="20">
        <f>(N45+(O45*(POWER(C45,P45)*(POWER(D45,Q45)))))*0.693</f>
        <v>353.89670304516602</v>
      </c>
      <c r="W45" s="20">
        <f>(N45+(O45*(POWER(C45,P45)*(POWER(D45,Q45)))))-V45</f>
        <v>156.77675012246175</v>
      </c>
      <c r="X45" s="20">
        <f>V45/2</f>
        <v>176.94835152258301</v>
      </c>
      <c r="Y45" s="20">
        <f>W45/2</f>
        <v>78.388375061230875</v>
      </c>
      <c r="Z45" s="18"/>
    </row>
    <row r="46" spans="1:26" x14ac:dyDescent="0.2">
      <c r="A46" s="16" t="s">
        <v>113</v>
      </c>
      <c r="B46" s="17" t="s">
        <v>114</v>
      </c>
      <c r="C46" s="18">
        <v>40</v>
      </c>
      <c r="D46" s="18">
        <v>10</v>
      </c>
      <c r="E46" s="19"/>
      <c r="F46" s="20"/>
      <c r="G46" s="20"/>
      <c r="H46" s="20"/>
      <c r="I46" s="20"/>
      <c r="J46" s="20"/>
      <c r="K46" s="20"/>
      <c r="L46" s="20"/>
      <c r="M46" s="20"/>
      <c r="N46" s="20">
        <v>0</v>
      </c>
      <c r="O46" s="20">
        <v>0.14812969162153555</v>
      </c>
      <c r="P46" s="20">
        <v>2.1940400000000002</v>
      </c>
      <c r="Q46" s="20">
        <v>0</v>
      </c>
      <c r="R46" s="20"/>
      <c r="S46" s="20"/>
      <c r="T46" s="20"/>
      <c r="U46" s="20"/>
      <c r="V46" s="20">
        <f>(N46+(O46*(POWER(C46,P46)*(POWER(D46,Q46)))))*0.716</f>
        <v>347.16732602349168</v>
      </c>
      <c r="W46" s="20">
        <f>(N46+(O46*(POWER(C46,P46)*(POWER(D46,Q46)))))-V46</f>
        <v>137.7032410484241</v>
      </c>
      <c r="X46" s="20">
        <f>+V46/2</f>
        <v>173.58366301174584</v>
      </c>
      <c r="Y46" s="20">
        <f>+W46/2</f>
        <v>68.851620524212052</v>
      </c>
      <c r="Z46" s="18"/>
    </row>
    <row r="47" spans="1:26" x14ac:dyDescent="0.2">
      <c r="A47" s="16" t="s">
        <v>34</v>
      </c>
      <c r="B47" s="17" t="s">
        <v>40</v>
      </c>
      <c r="C47" s="18">
        <v>40</v>
      </c>
      <c r="D47" s="18">
        <v>10</v>
      </c>
      <c r="E47" s="19"/>
      <c r="F47" s="20">
        <f>0.142*POWER(C47,1.974)</f>
        <v>206.42142283778551</v>
      </c>
      <c r="G47" s="20"/>
      <c r="H47" s="20">
        <f>0.104*POWER(C47,2)</f>
        <v>166.4</v>
      </c>
      <c r="I47" s="20">
        <f>0.0538*POWER(D47,2)</f>
        <v>5.38</v>
      </c>
      <c r="J47" s="20">
        <f>0.151*POWER(C47,2)-0.0074*POWER(C47,2)*D47</f>
        <v>123.19999999999999</v>
      </c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>
        <f>F47+G47+H47+I47+J47+K47+L47</f>
        <v>501.4014228377855</v>
      </c>
      <c r="W47" s="20">
        <f>0.335*POWER(C47,2)</f>
        <v>536</v>
      </c>
      <c r="X47" s="20">
        <f>V47/2</f>
        <v>250.70071141889275</v>
      </c>
      <c r="Y47" s="20">
        <f>W47/2</f>
        <v>268</v>
      </c>
      <c r="Z47" s="18"/>
    </row>
    <row r="48" spans="1:26" x14ac:dyDescent="0.2">
      <c r="A48" s="16" t="s">
        <v>35</v>
      </c>
      <c r="B48" s="17" t="s">
        <v>38</v>
      </c>
      <c r="C48" s="18">
        <v>40</v>
      </c>
      <c r="D48" s="18">
        <v>10</v>
      </c>
      <c r="E48" s="19">
        <f>IF(C48&gt;12.5,1,0)</f>
        <v>1</v>
      </c>
      <c r="F48" s="20">
        <f>0.0296*POWER(C48,2)*D48</f>
        <v>473.6</v>
      </c>
      <c r="G48" s="20"/>
      <c r="H48" s="20">
        <f>0.231*POWER((C48-12.5),2)*E48</f>
        <v>174.69374999999999</v>
      </c>
      <c r="I48" s="20">
        <f>0.0925*POWER(C48,2)</f>
        <v>148</v>
      </c>
      <c r="J48" s="20">
        <f>2.005*C48</f>
        <v>80.199999999999989</v>
      </c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>
        <f>F48+G48+H48+I48+J48+K48+L48</f>
        <v>876.49375000000009</v>
      </c>
      <c r="W48" s="20">
        <f>0.359*POWER(C48,2)</f>
        <v>574.4</v>
      </c>
      <c r="X48" s="20">
        <f>+V48/2</f>
        <v>438.24687500000005</v>
      </c>
      <c r="Y48" s="20">
        <f>+W48/2</f>
        <v>287.2</v>
      </c>
      <c r="Z48" s="18"/>
    </row>
    <row r="49" spans="1:26" x14ac:dyDescent="0.2">
      <c r="A49" s="16" t="s">
        <v>115</v>
      </c>
      <c r="B49" s="17" t="s">
        <v>116</v>
      </c>
      <c r="C49" s="18">
        <v>40</v>
      </c>
      <c r="D49" s="18">
        <v>10</v>
      </c>
      <c r="E49" s="19">
        <f>IF(C49&gt;22.5,1,0)</f>
        <v>1</v>
      </c>
      <c r="F49" s="20">
        <f>0.0132*POWER(C49,2)*D49+0.217*C49*D49</f>
        <v>298</v>
      </c>
      <c r="G49" s="20"/>
      <c r="H49" s="20">
        <f>0.107*POWER((C49-22.5),2)*E49</f>
        <v>32.768749999999997</v>
      </c>
      <c r="I49" s="20">
        <f>0.00792*POWER(C49,2)*D49</f>
        <v>126.72</v>
      </c>
      <c r="J49" s="20">
        <f>0.273*C49*D49</f>
        <v>109.20000000000002</v>
      </c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>
        <f>F49+G49+H49+I49+J49+K49+L49</f>
        <v>566.68875000000003</v>
      </c>
      <c r="W49" s="20">
        <f>0.0767*POWER(C49,2)</f>
        <v>122.72000000000001</v>
      </c>
      <c r="X49" s="20">
        <f>+V49/2</f>
        <v>283.34437500000001</v>
      </c>
      <c r="Y49" s="20">
        <f>+W49/2</f>
        <v>61.360000000000007</v>
      </c>
      <c r="Z49" s="18"/>
    </row>
    <row r="50" spans="1:26" x14ac:dyDescent="0.2">
      <c r="A50" s="16" t="s">
        <v>117</v>
      </c>
      <c r="B50" s="17" t="s">
        <v>118</v>
      </c>
      <c r="C50" s="18">
        <v>40</v>
      </c>
      <c r="D50" s="18">
        <v>10</v>
      </c>
      <c r="E50" s="19">
        <f>IF(C50&gt;12.5,1,0)</f>
        <v>1</v>
      </c>
      <c r="F50" s="20">
        <f>0.0296*POWER(C50,2)*D50</f>
        <v>473.6</v>
      </c>
      <c r="G50" s="20"/>
      <c r="H50" s="20">
        <f>0.231*POWER((C50-12.5),2)*E50</f>
        <v>174.69374999999999</v>
      </c>
      <c r="I50" s="20">
        <f>0.0925*POWER(C50,2)</f>
        <v>148</v>
      </c>
      <c r="J50" s="20">
        <f>2.005*C50</f>
        <v>80.199999999999989</v>
      </c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>
        <f>F50+G50+H50+I50+J50+K50+L50</f>
        <v>876.49375000000009</v>
      </c>
      <c r="W50" s="20">
        <f>0.359*POWER(C50,2)</f>
        <v>574.4</v>
      </c>
      <c r="X50" s="20">
        <f t="shared" ref="X50:Y52" si="4">V50/2</f>
        <v>438.24687500000005</v>
      </c>
      <c r="Y50" s="20">
        <f t="shared" si="4"/>
        <v>287.2</v>
      </c>
      <c r="Z50" s="18"/>
    </row>
    <row r="51" spans="1:26" x14ac:dyDescent="0.2">
      <c r="A51" s="16" t="s">
        <v>24</v>
      </c>
      <c r="B51" s="17" t="s">
        <v>43</v>
      </c>
      <c r="C51" s="18">
        <v>40</v>
      </c>
      <c r="D51" s="18">
        <v>10</v>
      </c>
      <c r="E51" s="19">
        <f>IF(C51&gt;12.5,1,0)</f>
        <v>1</v>
      </c>
      <c r="F51" s="20">
        <f>0.0296*POWER(C51,2)*D51</f>
        <v>473.6</v>
      </c>
      <c r="G51" s="20"/>
      <c r="H51" s="20">
        <f>0.231*POWER((C51-12.5),2)*E51</f>
        <v>174.69374999999999</v>
      </c>
      <c r="I51" s="20">
        <f>0.0925*POWER(C51,2)</f>
        <v>148</v>
      </c>
      <c r="J51" s="20">
        <f>2.005*C51</f>
        <v>80.199999999999989</v>
      </c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>
        <f>F51+G51+H51+I51+J51+K51+L51</f>
        <v>876.49375000000009</v>
      </c>
      <c r="W51" s="20">
        <f>0.359*POWER(C51,2)</f>
        <v>574.4</v>
      </c>
      <c r="X51" s="20">
        <f t="shared" si="4"/>
        <v>438.24687500000005</v>
      </c>
      <c r="Y51" s="20">
        <f t="shared" si="4"/>
        <v>287.2</v>
      </c>
      <c r="Z51" s="18"/>
    </row>
    <row r="52" spans="1:26" x14ac:dyDescent="0.2">
      <c r="A52" s="16" t="s">
        <v>119</v>
      </c>
      <c r="B52" s="17" t="s">
        <v>120</v>
      </c>
      <c r="C52" s="18">
        <v>40</v>
      </c>
      <c r="D52" s="18">
        <v>10</v>
      </c>
      <c r="E52" s="19">
        <f>IF(C52&gt;22.5,1,0)</f>
        <v>1</v>
      </c>
      <c r="F52" s="20">
        <f>0.0132*POWER(C52,2)*D52+0.217*C52*D52</f>
        <v>298</v>
      </c>
      <c r="G52" s="20"/>
      <c r="H52" s="20">
        <f>0.107*POWER((C52-22.5),2)*E52</f>
        <v>32.768749999999997</v>
      </c>
      <c r="I52" s="20">
        <f>0.00792*POWER(C52,2)*D52</f>
        <v>126.72</v>
      </c>
      <c r="J52" s="20">
        <f>0.273*C52*D52</f>
        <v>109.20000000000002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>
        <f>F52+G52+H52+I52+J52+K52+L52</f>
        <v>566.68875000000003</v>
      </c>
      <c r="W52" s="20">
        <f>0.0767*POWER(C52,2)</f>
        <v>122.72000000000001</v>
      </c>
      <c r="X52" s="20">
        <f t="shared" si="4"/>
        <v>283.34437500000001</v>
      </c>
      <c r="Y52" s="20">
        <f t="shared" si="4"/>
        <v>61.360000000000007</v>
      </c>
      <c r="Z52" s="18"/>
    </row>
    <row r="53" spans="1:26" x14ac:dyDescent="0.2">
      <c r="A53" s="16" t="s">
        <v>121</v>
      </c>
      <c r="B53" s="17" t="s">
        <v>122</v>
      </c>
      <c r="C53" s="18">
        <v>40</v>
      </c>
      <c r="D53" s="18">
        <v>10</v>
      </c>
      <c r="E53" s="19"/>
      <c r="F53" s="20"/>
      <c r="G53" s="20"/>
      <c r="H53" s="20"/>
      <c r="I53" s="20"/>
      <c r="J53" s="20"/>
      <c r="K53" s="20"/>
      <c r="L53" s="20"/>
      <c r="M53" s="20"/>
      <c r="N53" s="20">
        <v>0</v>
      </c>
      <c r="O53" s="20">
        <v>0.25616842230416897</v>
      </c>
      <c r="P53" s="20">
        <v>2.2664</v>
      </c>
      <c r="Q53" s="20">
        <v>0</v>
      </c>
      <c r="R53" s="20">
        <v>0</v>
      </c>
      <c r="S53" s="20">
        <v>0.25085832879283076</v>
      </c>
      <c r="T53" s="20">
        <v>2.0561400000000001</v>
      </c>
      <c r="U53" s="20">
        <v>0</v>
      </c>
      <c r="V53" s="20">
        <f>(N53+(O53*(POWER(C53,P53)*(POWER(D53,Q53)))))-W53</f>
        <v>601.32257731834</v>
      </c>
      <c r="W53" s="20">
        <f>R53+(S53*(POWER(C53,T53)*(POWER(D53,U53))))</f>
        <v>493.72845235464717</v>
      </c>
      <c r="X53" s="20">
        <f>+V53/2</f>
        <v>300.66128865917</v>
      </c>
      <c r="Y53" s="20">
        <f>+W53/2</f>
        <v>246.86422617732359</v>
      </c>
      <c r="Z53" s="18"/>
    </row>
    <row r="54" spans="1:26" x14ac:dyDescent="0.2">
      <c r="A54" s="16" t="s">
        <v>123</v>
      </c>
      <c r="B54" s="17" t="s">
        <v>124</v>
      </c>
      <c r="C54" s="18">
        <v>40</v>
      </c>
      <c r="D54" s="18">
        <v>10</v>
      </c>
      <c r="E54" s="19"/>
      <c r="F54" s="20"/>
      <c r="G54" s="20"/>
      <c r="H54" s="20"/>
      <c r="I54" s="20"/>
      <c r="J54" s="20"/>
      <c r="K54" s="20"/>
      <c r="L54" s="20"/>
      <c r="M54" s="20"/>
      <c r="N54" s="20">
        <v>0</v>
      </c>
      <c r="O54" s="20">
        <v>0.25616842230416897</v>
      </c>
      <c r="P54" s="20">
        <v>2.2664</v>
      </c>
      <c r="Q54" s="20">
        <v>0</v>
      </c>
      <c r="R54" s="20">
        <v>0</v>
      </c>
      <c r="S54" s="20">
        <v>0.25085832879283076</v>
      </c>
      <c r="T54" s="20">
        <v>2.0561400000000001</v>
      </c>
      <c r="U54" s="20">
        <v>0</v>
      </c>
      <c r="V54" s="20">
        <f>(N54+(O54*(POWER(C54,P54)*(POWER(D54,Q54)))))-W54</f>
        <v>601.32257731834</v>
      </c>
      <c r="W54" s="20">
        <f>R54+(S54*(POWER(C54,T54)*(POWER(D54,U54))))</f>
        <v>493.72845235464717</v>
      </c>
      <c r="X54" s="20">
        <f>+V54/2</f>
        <v>300.66128865917</v>
      </c>
      <c r="Y54" s="20">
        <f>+W54/2</f>
        <v>246.86422617732359</v>
      </c>
      <c r="Z54" s="18"/>
    </row>
    <row r="55" spans="1:26" x14ac:dyDescent="0.2">
      <c r="A55" s="16" t="s">
        <v>47</v>
      </c>
      <c r="B55" s="17" t="s">
        <v>48</v>
      </c>
      <c r="C55" s="18">
        <v>40</v>
      </c>
      <c r="D55" s="18">
        <v>10</v>
      </c>
      <c r="E55" s="19">
        <f>IF(C55&gt;12.5,1,0)</f>
        <v>1</v>
      </c>
      <c r="F55" s="20">
        <f>0.0296*POWER(C55,2)*D55</f>
        <v>473.6</v>
      </c>
      <c r="G55" s="20"/>
      <c r="H55" s="20">
        <f>0.231*POWER((C55-12.5),2)*E55</f>
        <v>174.69374999999999</v>
      </c>
      <c r="I55" s="20">
        <f>0.0925*POWER(C55,2)</f>
        <v>148</v>
      </c>
      <c r="J55" s="20">
        <f>2.005*C55</f>
        <v>80.199999999999989</v>
      </c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>
        <f>F55+G55+H55+I55+J55+K55+L55</f>
        <v>876.49375000000009</v>
      </c>
      <c r="W55" s="20">
        <f>0.359*POWER(C55,2)</f>
        <v>574.4</v>
      </c>
      <c r="X55" s="20">
        <f>V55/2</f>
        <v>438.24687500000005</v>
      </c>
      <c r="Y55" s="20">
        <f>W55/2</f>
        <v>287.2</v>
      </c>
      <c r="Z55" s="18"/>
    </row>
    <row r="56" spans="1:26" x14ac:dyDescent="0.2">
      <c r="A56" s="16" t="s">
        <v>125</v>
      </c>
      <c r="B56" s="17" t="s">
        <v>126</v>
      </c>
      <c r="C56" s="18">
        <v>40</v>
      </c>
      <c r="D56" s="18">
        <v>10</v>
      </c>
      <c r="E56" s="19">
        <f>IF(C56&gt;12.5,1,0)</f>
        <v>1</v>
      </c>
      <c r="F56" s="20">
        <f>0.0296*POWER(C56,2)*D56</f>
        <v>473.6</v>
      </c>
      <c r="G56" s="20"/>
      <c r="H56" s="20">
        <f>0.231*POWER((C56-12.5),2)*E56</f>
        <v>174.69374999999999</v>
      </c>
      <c r="I56" s="20">
        <f>0.0925*POWER(C56,2)</f>
        <v>148</v>
      </c>
      <c r="J56" s="20">
        <f>2.005*C56</f>
        <v>80.199999999999989</v>
      </c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>
        <f>F56+G56+H56+I56+J56+K56+L56</f>
        <v>876.49375000000009</v>
      </c>
      <c r="W56" s="20">
        <f>0.359*POWER(C56,2)</f>
        <v>574.4</v>
      </c>
      <c r="X56" s="20">
        <f>V56/2</f>
        <v>438.24687500000005</v>
      </c>
      <c r="Y56" s="20">
        <f>W56/2</f>
        <v>287.2</v>
      </c>
      <c r="Z56" s="18"/>
    </row>
    <row r="57" spans="1:26" x14ac:dyDescent="0.2">
      <c r="A57" s="10"/>
      <c r="B57" s="2"/>
      <c r="C57" s="2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21"/>
      <c r="Z57" s="18"/>
    </row>
    <row r="58" spans="1:26" x14ac:dyDescent="0.2">
      <c r="A58" s="10"/>
      <c r="B58" s="2"/>
      <c r="C58" s="2"/>
      <c r="D58" s="3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21"/>
      <c r="Z58" s="18"/>
    </row>
    <row r="59" spans="1:26" x14ac:dyDescent="0.2">
      <c r="A59" s="10"/>
      <c r="B59" s="2"/>
      <c r="C59" s="2"/>
      <c r="D59" s="3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21"/>
      <c r="Z59" s="18"/>
    </row>
    <row r="60" spans="1:26" x14ac:dyDescent="0.2">
      <c r="A60" s="10"/>
      <c r="B60" s="2"/>
      <c r="C60" s="2"/>
      <c r="D60" s="3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21"/>
      <c r="Z60" s="18"/>
    </row>
    <row r="61" spans="1:26" x14ac:dyDescent="0.2">
      <c r="A61" s="10"/>
      <c r="B61" s="2"/>
      <c r="C61" s="2"/>
      <c r="D61" s="3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21"/>
      <c r="Z61" s="18"/>
    </row>
    <row r="62" spans="1:26" x14ac:dyDescent="0.2">
      <c r="A62" s="10"/>
      <c r="B62" s="2"/>
      <c r="C62" s="2"/>
      <c r="D62" s="3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15"/>
    </row>
    <row r="63" spans="1:26" x14ac:dyDescent="0.2">
      <c r="A63" s="10"/>
      <c r="B63" s="2"/>
      <c r="C63" s="2"/>
      <c r="D63" s="3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15"/>
    </row>
    <row r="64" spans="1:26" x14ac:dyDescent="0.2">
      <c r="A64" s="10"/>
      <c r="B64" s="2"/>
      <c r="C64" s="2"/>
      <c r="D64" s="3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15"/>
    </row>
    <row r="65" spans="1:25" x14ac:dyDescent="0.2">
      <c r="A65" s="10"/>
      <c r="B65" s="2"/>
      <c r="C65" s="2"/>
      <c r="D65" s="3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15"/>
    </row>
    <row r="66" spans="1:25" x14ac:dyDescent="0.2">
      <c r="A66" s="10"/>
      <c r="B66" s="2"/>
      <c r="C66" s="2"/>
      <c r="D66" s="3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15"/>
    </row>
    <row r="67" spans="1:25" x14ac:dyDescent="0.2">
      <c r="A67" s="10"/>
      <c r="B67" s="2"/>
      <c r="C67" s="2"/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15"/>
    </row>
    <row r="68" spans="1:25" x14ac:dyDescent="0.2">
      <c r="A68" s="10"/>
      <c r="B68" s="2"/>
      <c r="C68" s="2"/>
      <c r="D68" s="3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15"/>
    </row>
    <row r="69" spans="1:25" x14ac:dyDescent="0.2">
      <c r="A69" s="10"/>
      <c r="B69" s="2"/>
      <c r="C69" s="2"/>
      <c r="D69" s="3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15"/>
    </row>
    <row r="70" spans="1:25" x14ac:dyDescent="0.2">
      <c r="A70" s="10"/>
      <c r="B70" s="2"/>
      <c r="C70" s="2"/>
      <c r="D70" s="3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15"/>
    </row>
    <row r="71" spans="1:25" x14ac:dyDescent="0.2">
      <c r="A71" s="10"/>
      <c r="B71" s="2"/>
      <c r="C71" s="2"/>
      <c r="D71" s="3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15"/>
    </row>
    <row r="72" spans="1:25" x14ac:dyDescent="0.2">
      <c r="A72" s="10"/>
      <c r="B72" s="2"/>
      <c r="C72" s="2"/>
      <c r="D72" s="3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15"/>
    </row>
    <row r="73" spans="1:25" x14ac:dyDescent="0.2">
      <c r="A73" s="10"/>
      <c r="B73" s="2"/>
      <c r="C73" s="2"/>
      <c r="D73" s="3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15"/>
    </row>
    <row r="74" spans="1:25" x14ac:dyDescent="0.2">
      <c r="A74" s="10"/>
      <c r="B74" s="2"/>
      <c r="C74" s="2"/>
      <c r="D74" s="3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15"/>
    </row>
    <row r="75" spans="1:25" x14ac:dyDescent="0.2">
      <c r="A75" s="10"/>
      <c r="B75" s="2"/>
      <c r="C75" s="2"/>
      <c r="D75" s="3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15"/>
    </row>
    <row r="76" spans="1:25" x14ac:dyDescent="0.2">
      <c r="A76" s="10"/>
      <c r="B76" s="2"/>
      <c r="C76" s="2"/>
      <c r="D76" s="3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15"/>
    </row>
    <row r="77" spans="1:25" x14ac:dyDescent="0.2">
      <c r="A77" s="10"/>
      <c r="B77" s="2"/>
      <c r="C77" s="2"/>
      <c r="D77" s="3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15"/>
    </row>
    <row r="78" spans="1:25" x14ac:dyDescent="0.2">
      <c r="A78" s="10"/>
      <c r="B78" s="2"/>
      <c r="C78" s="2"/>
      <c r="D78" s="3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15"/>
    </row>
    <row r="79" spans="1:25" x14ac:dyDescent="0.2">
      <c r="A79" s="10"/>
      <c r="B79" s="2"/>
      <c r="C79" s="2"/>
      <c r="D79" s="3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15"/>
    </row>
    <row r="80" spans="1:25" x14ac:dyDescent="0.2">
      <c r="A80" s="10"/>
      <c r="B80" s="2"/>
      <c r="C80" s="2"/>
      <c r="D80" s="3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15"/>
    </row>
    <row r="81" spans="1:25" x14ac:dyDescent="0.2">
      <c r="A81" s="10"/>
      <c r="B81" s="2"/>
      <c r="C81" s="2"/>
      <c r="D81" s="3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15"/>
    </row>
    <row r="82" spans="1:25" x14ac:dyDescent="0.2">
      <c r="A82" s="10"/>
      <c r="B82" s="2"/>
      <c r="C82" s="2"/>
      <c r="D82" s="3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15"/>
    </row>
    <row r="83" spans="1:25" x14ac:dyDescent="0.2">
      <c r="A83" s="10"/>
      <c r="B83" s="2"/>
      <c r="C83" s="2"/>
      <c r="D83" s="3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15"/>
    </row>
    <row r="84" spans="1:25" x14ac:dyDescent="0.2">
      <c r="A84" s="10"/>
      <c r="B84" s="2"/>
      <c r="C84" s="2"/>
      <c r="D84" s="3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15"/>
    </row>
    <row r="85" spans="1:25" x14ac:dyDescent="0.2">
      <c r="A85" s="10"/>
      <c r="B85" s="2"/>
      <c r="C85" s="2"/>
      <c r="D85" s="3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15"/>
    </row>
    <row r="86" spans="1:25" x14ac:dyDescent="0.2">
      <c r="A86" s="10"/>
      <c r="B86" s="2"/>
      <c r="C86" s="2"/>
      <c r="D86" s="3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15"/>
    </row>
    <row r="87" spans="1:25" x14ac:dyDescent="0.2">
      <c r="A87" s="10"/>
      <c r="B87" s="2"/>
      <c r="C87" s="2"/>
      <c r="D87" s="3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15"/>
    </row>
    <row r="88" spans="1:25" x14ac:dyDescent="0.2">
      <c r="A88" s="10"/>
      <c r="B88" s="2"/>
      <c r="C88" s="2"/>
      <c r="D88" s="3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15"/>
    </row>
    <row r="89" spans="1:25" x14ac:dyDescent="0.2">
      <c r="A89" s="10"/>
      <c r="B89" s="2"/>
      <c r="C89" s="2"/>
      <c r="D89" s="3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15"/>
    </row>
    <row r="90" spans="1:25" x14ac:dyDescent="0.2">
      <c r="A90" s="10"/>
      <c r="B90" s="2"/>
      <c r="C90" s="2"/>
      <c r="D90" s="3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15"/>
    </row>
    <row r="91" spans="1:25" x14ac:dyDescent="0.2">
      <c r="A91" s="10"/>
      <c r="B91" s="2"/>
      <c r="C91" s="2"/>
      <c r="D91" s="3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15"/>
    </row>
    <row r="92" spans="1:25" x14ac:dyDescent="0.2">
      <c r="A92" s="10"/>
      <c r="B92" s="2"/>
      <c r="C92" s="2"/>
      <c r="D92" s="3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15"/>
    </row>
    <row r="93" spans="1:25" x14ac:dyDescent="0.2">
      <c r="A93" s="10"/>
      <c r="B93" s="2"/>
      <c r="C93" s="2"/>
      <c r="D93" s="3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15"/>
    </row>
    <row r="94" spans="1:25" x14ac:dyDescent="0.2">
      <c r="A94" s="10"/>
      <c r="B94" s="2"/>
      <c r="C94" s="2"/>
      <c r="D94" s="3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15"/>
    </row>
    <row r="95" spans="1:25" x14ac:dyDescent="0.2">
      <c r="A95" s="10"/>
      <c r="B95" s="2"/>
      <c r="C95" s="2"/>
      <c r="D95" s="3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15"/>
    </row>
    <row r="96" spans="1:25" x14ac:dyDescent="0.2">
      <c r="A96" s="10"/>
      <c r="B96" s="2"/>
      <c r="C96" s="2"/>
      <c r="D96" s="3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15"/>
    </row>
    <row r="97" spans="1:25" x14ac:dyDescent="0.2">
      <c r="A97" s="10"/>
      <c r="B97" s="2"/>
      <c r="C97" s="2"/>
      <c r="D97" s="3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15"/>
    </row>
    <row r="98" spans="1:25" x14ac:dyDescent="0.2">
      <c r="A98" s="10"/>
      <c r="B98" s="2"/>
      <c r="C98" s="2"/>
      <c r="D98" s="3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15"/>
    </row>
  </sheetData>
  <phoneticPr fontId="7" type="noConversion"/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74-409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ttec</dc:creator>
  <cp:lastModifiedBy>RSALAS2</cp:lastModifiedBy>
  <dcterms:created xsi:type="dcterms:W3CDTF">2013-01-30T12:13:07Z</dcterms:created>
  <dcterms:modified xsi:type="dcterms:W3CDTF">2018-10-31T09:46:06Z</dcterms:modified>
</cp:coreProperties>
</file>